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<sst xmlns="http://schemas.openxmlformats.org/spreadsheetml/2006/main" count="779" uniqueCount="330">
  <si>
    <t>Slepý stavební rozpočet</t>
  </si>
  <si>
    <t>Název stavby:</t>
  </si>
  <si>
    <t>Opěrná zeď na pozemku parc.č.3063 u domu čp.831, ul. Riegrova ve FM-Místku</t>
  </si>
  <si>
    <t>Doba výstavby:</t>
  </si>
  <si>
    <t xml:space="preserve"> </t>
  </si>
  <si>
    <t>Objednatel:</t>
  </si>
  <si>
    <t> </t>
  </si>
  <si>
    <t>Druh stavby:</t>
  </si>
  <si>
    <t>OPĚRNÁ ZEĎ  S OPLOCENÍM</t>
  </si>
  <si>
    <t>Začátek výstavby:</t>
  </si>
  <si>
    <t>Projektant:</t>
  </si>
  <si>
    <t>Lokalita:</t>
  </si>
  <si>
    <t>Konec výstavby:</t>
  </si>
  <si>
    <t>Zhotovitel:</t>
  </si>
  <si>
    <t>JKSO:</t>
  </si>
  <si>
    <t>Zpracováno dne:</t>
  </si>
  <si>
    <t>Zpracoval:</t>
  </si>
  <si>
    <t>Č</t>
  </si>
  <si>
    <t>Kód</t>
  </si>
  <si>
    <t>Zkrácený popis</t>
  </si>
  <si>
    <t>MJ</t>
  </si>
  <si>
    <t>Množství</t>
  </si>
  <si>
    <t>Cena/MJ</t>
  </si>
  <si>
    <t>Náklady (Kč)</t>
  </si>
  <si>
    <t>Cenová</t>
  </si>
  <si>
    <t>ISWORK</t>
  </si>
  <si>
    <t>GROUPCODE</t>
  </si>
  <si>
    <t>Rozměry</t>
  </si>
  <si>
    <t>(Kč)</t>
  </si>
  <si>
    <t>Dodávka</t>
  </si>
  <si>
    <t>Montáž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</si>
  <si>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</si>
  <si>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</si>
  <si>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</si>
  <si>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</si>
  <si>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</si>
  <si>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</si>
  <si>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</si>
  <si>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</si>
  <si>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</si>
  <si>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</si>
  <si>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</si>
  <si>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</si>
  <si>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</si>
  <si>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</si>
  <si>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11</t>
  </si>
  <si>
    <t>Přípravné a přidružené práce</t>
  </si>
  <si>
    <t>1</t>
  </si>
  <si>
    <t>115101201R00</t>
  </si>
  <si>
    <t>Čerpání vody na výšku do 10 m, přítok do 500 l/min - 30 dní</t>
  </si>
  <si>
    <t>h</t>
  </si>
  <si>
    <t>RTS II / 2022</t>
  </si>
  <si>
    <t>11_</t>
  </si>
  <si>
    <t>1_</t>
  </si>
  <si>
    <t>_</t>
  </si>
  <si>
    <t>Poznámka:</t>
  </si>
  <si>
    <t>15 dní x 24 hodin = 360 hodin</t>
  </si>
  <si>
    <t>2</t>
  </si>
  <si>
    <t>115101301R00</t>
  </si>
  <si>
    <t>Pohotovost čerp.soupravy, výška 10 m, přítok 500 l</t>
  </si>
  <si>
    <t>den</t>
  </si>
  <si>
    <t>3</t>
  </si>
  <si>
    <t>119001421R00</t>
  </si>
  <si>
    <t>Dočasné zajištění kabelů - do počtu 3 kabelů</t>
  </si>
  <si>
    <t>m</t>
  </si>
  <si>
    <t>4</t>
  </si>
  <si>
    <t>119001412R00</t>
  </si>
  <si>
    <t>Dočasné zajištění beton.a plast.potrubí DN 200-500</t>
  </si>
  <si>
    <t>12</t>
  </si>
  <si>
    <t>Odkopávky a prokopávky</t>
  </si>
  <si>
    <t>5</t>
  </si>
  <si>
    <t>121101101R00</t>
  </si>
  <si>
    <t>Sejmutí ornice s přemístěním do 50 m</t>
  </si>
  <si>
    <t>m3</t>
  </si>
  <si>
    <t>12_</t>
  </si>
  <si>
    <t>18,00 x 1,00 = 18,00 m2</t>
  </si>
  <si>
    <t>6</t>
  </si>
  <si>
    <t>122301101R00</t>
  </si>
  <si>
    <t>Odkopávky nezapažené v hor. 4 do 100 m3</t>
  </si>
  <si>
    <t>18,00 x 1,00 x 2,00 = 36,00 m3
18,00 x 1,20 + 1,00 = 21,60 m3</t>
  </si>
  <si>
    <t>7</t>
  </si>
  <si>
    <t>122301109R00</t>
  </si>
  <si>
    <t>Příplatek za lepivost - odkopávky v hor. 4</t>
  </si>
  <si>
    <t>15</t>
  </si>
  <si>
    <t>Roubení</t>
  </si>
  <si>
    <t>8</t>
  </si>
  <si>
    <t>151824201-R</t>
  </si>
  <si>
    <t>Záporové pažení trvalé, hor.4, HEB 200 á 2,00 m, hl.do 5 m - pažiny dřevěné fošny výkop směrem ke komunikaci</t>
  </si>
  <si>
    <t>m2</t>
  </si>
  <si>
    <t>15_</t>
  </si>
  <si>
    <t>18,00 x 3,00 = 54,00 m2</t>
  </si>
  <si>
    <t>9</t>
  </si>
  <si>
    <t>151101201R00</t>
  </si>
  <si>
    <t>Pažení stěn výkopu - příložné - hloubky do 4 m</t>
  </si>
  <si>
    <t>18,00 x 1,20 = 21,60 m2</t>
  </si>
  <si>
    <t>10</t>
  </si>
  <si>
    <t>151101211R00</t>
  </si>
  <si>
    <t>Odstranění pažení stěn - příložné - hl. do 4 m</t>
  </si>
  <si>
    <t>16</t>
  </si>
  <si>
    <t>Přemístění výkopku</t>
  </si>
  <si>
    <t>161101101R00</t>
  </si>
  <si>
    <t>Svislé přemístění výkopku z hor.1-4 do 2,5 m</t>
  </si>
  <si>
    <t>16_</t>
  </si>
  <si>
    <t>162601102R00</t>
  </si>
  <si>
    <t>Vodorovné přemístění výkopku z hor.1-4 do 5000 m na skládku</t>
  </si>
  <si>
    <t>18,00 x 0,75 x 0,85 = 11,48 m3</t>
  </si>
  <si>
    <t>13</t>
  </si>
  <si>
    <t>166101101R00</t>
  </si>
  <si>
    <t>Přehození výkopku z hor.1-4</t>
  </si>
  <si>
    <t>14</t>
  </si>
  <si>
    <t>167101101R00</t>
  </si>
  <si>
    <t>Nakládání výkopku z hor. 1 ÷ 4 v množství do 100 m3</t>
  </si>
  <si>
    <t>162201102R00</t>
  </si>
  <si>
    <t>Vodorovné přemístění výkopku z hor.1-4 do 50 m</t>
  </si>
  <si>
    <t>57,60-11,50 = 46,10 m3</t>
  </si>
  <si>
    <t>17</t>
  </si>
  <si>
    <t>Konstrukce ze zemin</t>
  </si>
  <si>
    <t>171201101R00</t>
  </si>
  <si>
    <t>Uložení sypaniny do násypů nezhutněných na skládce</t>
  </si>
  <si>
    <t>17_</t>
  </si>
  <si>
    <t>174100010RA0</t>
  </si>
  <si>
    <t>Zásyp jam, rýh a šachet sypaninou</t>
  </si>
  <si>
    <t>18</t>
  </si>
  <si>
    <t>174100050RAD</t>
  </si>
  <si>
    <t>Zásyp jam,rýh a šachet štěrkopískem ze vzdálenosti 15 km</t>
  </si>
  <si>
    <t>Povrchové úpravy terénu</t>
  </si>
  <si>
    <t>19</t>
  </si>
  <si>
    <t>181300012RAA</t>
  </si>
  <si>
    <t>Rozprostření ornice v rovině tloušťka 20 cm z meziskládky a osetí travou</t>
  </si>
  <si>
    <t>18_</t>
  </si>
  <si>
    <t>Hloubení pro podzemní stěny, ražení a hloubení důlní</t>
  </si>
  <si>
    <t>20</t>
  </si>
  <si>
    <t>199000005R00</t>
  </si>
  <si>
    <t>Poplatek za skládku zeminy 1- 4, č. dle katal. odpadů 17 05 04</t>
  </si>
  <si>
    <t>t</t>
  </si>
  <si>
    <t>19_</t>
  </si>
  <si>
    <t>21</t>
  </si>
  <si>
    <t>Úprava podloží a základové spáry</t>
  </si>
  <si>
    <t>215901101RT5</t>
  </si>
  <si>
    <t>Zhutnění podloží z hornin nesoudržných do 92% PS vibrační deskou</t>
  </si>
  <si>
    <t>21_</t>
  </si>
  <si>
    <t>2_</t>
  </si>
  <si>
    <t>18,00 x (1,05+0,50) = 27,90m2</t>
  </si>
  <si>
    <t>22</t>
  </si>
  <si>
    <t>212792112R01</t>
  </si>
  <si>
    <t>D+M Trativody z flexibilních trubek DN 100, lože a obsyp</t>
  </si>
  <si>
    <t>23</t>
  </si>
  <si>
    <t>21279-R</t>
  </si>
  <si>
    <t>D+M Napojení trativodu z flexibilních trubek DN 100 na kanalizaci</t>
  </si>
  <si>
    <t>kpl</t>
  </si>
  <si>
    <t>27</t>
  </si>
  <si>
    <t>Základy</t>
  </si>
  <si>
    <t>24</t>
  </si>
  <si>
    <t>271313511R00</t>
  </si>
  <si>
    <t>Beton podkladní pod základové konstrukce, prostý</t>
  </si>
  <si>
    <t>27_</t>
  </si>
  <si>
    <t>podkladní opěrná zeď
18,00 x 1,05 x 0,10 = 1,89 m3
podkladní násyp a drenáž
18,00 x 0,50 x 0,20 = 1,80 m3</t>
  </si>
  <si>
    <t>28</t>
  </si>
  <si>
    <t>Zpevňování hornin a konstrukcí</t>
  </si>
  <si>
    <t>25</t>
  </si>
  <si>
    <t>289970111R00</t>
  </si>
  <si>
    <t>Vrstva geotextilie 300g/m2 - ochrana štěrkopískového zásypu</t>
  </si>
  <si>
    <t>28_</t>
  </si>
  <si>
    <t>18,00 x 2,50 = 45,00 m2</t>
  </si>
  <si>
    <t>32</t>
  </si>
  <si>
    <t>Zdi přehradní a opěrné</t>
  </si>
  <si>
    <t>26</t>
  </si>
  <si>
    <t>327321824R00</t>
  </si>
  <si>
    <t>Zdi a valy ze železobetonu pohled. pevnost C 20/25</t>
  </si>
  <si>
    <t>32_</t>
  </si>
  <si>
    <t>3_</t>
  </si>
  <si>
    <t>18,00 x 1,30 x 0,35 = 8,19 m3
18,00 x 0,35 x 2,75 = 17,33 m3</t>
  </si>
  <si>
    <t>327366111R00</t>
  </si>
  <si>
    <t>Výztuž opěrných zdí, ocel 10 505 (R),D do 12 mm - výkres č.D.1.2.3</t>
  </si>
  <si>
    <t>255 + 1.382 = 1.647 kg</t>
  </si>
  <si>
    <t>327351010R00</t>
  </si>
  <si>
    <t>Obednění opěrných zdí ploch rovinných - 2x (35,50x1,80 + 5,70 x1,20)</t>
  </si>
  <si>
    <t>2x 18,00 x 3,10 = 111,60 m2</t>
  </si>
  <si>
    <t>29</t>
  </si>
  <si>
    <t>327351221R00</t>
  </si>
  <si>
    <t>Bednění zdí a valů H do 20 m - odbednění</t>
  </si>
  <si>
    <t>30</t>
  </si>
  <si>
    <t>32999 - R1</t>
  </si>
  <si>
    <t>D+M Dilatace, pracovní spára á 6m</t>
  </si>
  <si>
    <t>ks</t>
  </si>
  <si>
    <t>RTS I / 2019</t>
  </si>
  <si>
    <t>63</t>
  </si>
  <si>
    <t>Podlahy a podlahové konstrukce</t>
  </si>
  <si>
    <t>31</t>
  </si>
  <si>
    <t>631571003R00</t>
  </si>
  <si>
    <t>Násyp ze štěrkopísku 0 - 32, zpevňující  tl.200mm = 40,30m2</t>
  </si>
  <si>
    <t>63_</t>
  </si>
  <si>
    <t>6_</t>
  </si>
  <si>
    <t>18,00 x 1,05 = 18,90 m2</t>
  </si>
  <si>
    <t>631313611R00</t>
  </si>
  <si>
    <t>Mazanina betonová tl. 8 - 12 cm C 16/20</t>
  </si>
  <si>
    <t>podkladní opěrná zeď
18,00 x 1,05 x 0,10 = 1,89 m3</t>
  </si>
  <si>
    <t>33</t>
  </si>
  <si>
    <t>631315611R00</t>
  </si>
  <si>
    <t>Mazanina betonová tl. 12 - 24 cm C 16/20</t>
  </si>
  <si>
    <t>podkladní násyp a drenáž
18,00 x 0,50 x 0,20 = 1,80 m3</t>
  </si>
  <si>
    <t>711</t>
  </si>
  <si>
    <t>Izolace proti vodě</t>
  </si>
  <si>
    <t>34</t>
  </si>
  <si>
    <t>711111001R00</t>
  </si>
  <si>
    <t>Provedení izolace proti vlhkosti na ploše vodorovné, 1x asfaltovým penetračním nátěrem</t>
  </si>
  <si>
    <t>711_</t>
  </si>
  <si>
    <t>71_</t>
  </si>
  <si>
    <t>18,00 x 0,50 = 9,00 m2</t>
  </si>
  <si>
    <t>35</t>
  </si>
  <si>
    <t>711112011R00</t>
  </si>
  <si>
    <t>Provedení izolace proti vlhkosti na ploše svislé, 1x nátěrem asfaltovou suspenzí</t>
  </si>
  <si>
    <t>18,00 x 2,65 = 47,70 m2</t>
  </si>
  <si>
    <t>36</t>
  </si>
  <si>
    <t>711171559RT1</t>
  </si>
  <si>
    <t>Provedení izolace proti vlhkosti na ploše vodorovné, fólií, volně včetně dodávky fólie</t>
  </si>
  <si>
    <t>37</t>
  </si>
  <si>
    <t>711172559RT1</t>
  </si>
  <si>
    <t>Provedení izolace proti vlhkosti na ploše svislé, fólií, volně včetně dodávky fólie</t>
  </si>
  <si>
    <t>38</t>
  </si>
  <si>
    <t>711823121RT2</t>
  </si>
  <si>
    <t>Montáž nopové fólie svislé včetně dodávky</t>
  </si>
  <si>
    <t>18,00 x 2,00 = 36,00 m2</t>
  </si>
  <si>
    <t>39</t>
  </si>
  <si>
    <t>711823129RT2</t>
  </si>
  <si>
    <t>Montáž ukončovací lišty k nopové fólii včetně dodávky</t>
  </si>
  <si>
    <t>2 x (18,00+2,00) = 40,00 m</t>
  </si>
  <si>
    <t>767</t>
  </si>
  <si>
    <t>Konstrukce doplňkové stavební (zámečnické)</t>
  </si>
  <si>
    <t>40</t>
  </si>
  <si>
    <t>767995103R00</t>
  </si>
  <si>
    <t>Výroba a montáž kov. atypických konstr. do 20kg - 15,00kg x 1ks + 13,00kg x 11ks = 158,00kg</t>
  </si>
  <si>
    <t>kg</t>
  </si>
  <si>
    <t>767_</t>
  </si>
  <si>
    <t>76_</t>
  </si>
  <si>
    <t>Z2 - rám s pletivem 15kg/1ks = 1ks
Z3 - sloupek oplocení 13kg/1ks = 11ks</t>
  </si>
  <si>
    <t>41</t>
  </si>
  <si>
    <t>767995104R00</t>
  </si>
  <si>
    <t>Výroba a montáž kov. atypických konstr. do 50kg - 25,00kg x9ks = 225,00kg</t>
  </si>
  <si>
    <t>Z1 - rám s pletivem 25kg/1ks = 9ks</t>
  </si>
  <si>
    <t>783</t>
  </si>
  <si>
    <t>Nátěry</t>
  </si>
  <si>
    <t>42</t>
  </si>
  <si>
    <t>783222100R00</t>
  </si>
  <si>
    <t>Nátěr syntetický kovových konstrukcí dvojnásobný</t>
  </si>
  <si>
    <t>783_</t>
  </si>
  <si>
    <t>78_</t>
  </si>
  <si>
    <t>2,00+3,65+5,55+6,60 = 17,80 x 1,50 = 26,70m2</t>
  </si>
  <si>
    <t>98</t>
  </si>
  <si>
    <t>Demolice</t>
  </si>
  <si>
    <t>43</t>
  </si>
  <si>
    <t>981511114R00</t>
  </si>
  <si>
    <t>Demolice konstrukcí postup.rozebráním, železobeton - stávající žb. opěrná zeď - 25% z 25 m3</t>
  </si>
  <si>
    <t>98_</t>
  </si>
  <si>
    <t>9_</t>
  </si>
  <si>
    <t>demontážní hmotnost = 2,310 t</t>
  </si>
  <si>
    <t>44</t>
  </si>
  <si>
    <t>981512114R00</t>
  </si>
  <si>
    <t>Demolice konstrukcí jiným způsobem, železobeton - stávající opěrná zeď - 75% z 25 m3</t>
  </si>
  <si>
    <t>demontážní hmotnost = 2,410 t</t>
  </si>
  <si>
    <t>H15</t>
  </si>
  <si>
    <t>Objekty pozemní zvláštní</t>
  </si>
  <si>
    <t>45</t>
  </si>
  <si>
    <t>998152121R00</t>
  </si>
  <si>
    <t>Přesun hmot, oplocení, zvláštní obj. monol. do 3 m</t>
  </si>
  <si>
    <t>H15_</t>
  </si>
  <si>
    <t>S</t>
  </si>
  <si>
    <t>Přesuny sutí</t>
  </si>
  <si>
    <t>46</t>
  </si>
  <si>
    <t>979981104R00</t>
  </si>
  <si>
    <t>Kontejner, suť bez příměsí, odvoz a likvidace, 9 t</t>
  </si>
  <si>
    <t>S_</t>
  </si>
  <si>
    <t>47</t>
  </si>
  <si>
    <t>979083117R00</t>
  </si>
  <si>
    <t>Vodorovné přemístění suti na skládku do 6000 m</t>
  </si>
  <si>
    <t>48</t>
  </si>
  <si>
    <t>979999979R00</t>
  </si>
  <si>
    <t>Poplatek za recyklaci, beton silně vyztužený, kusovost do 1600 cm2 (skup.170101)</t>
  </si>
  <si>
    <t>Celkem:</t>
  </si>
  <si>
    <t>Slepý stavební rozpočet - rekapitulace</t>
  </si>
  <si>
    <t>Objekt</t>
  </si>
  <si>
    <t>Náklady (Kč) - dodávka</t>
  </si>
  <si>
    <t>Náklady (Kč) - Montáž</t>
  </si>
  <si>
    <t>Náklady (Kč) - celkem</t>
  </si>
  <si>
    <t>T</t>
  </si>
  <si>
    <t>Krycí list slepého rozpočtu</t>
  </si>
  <si>
    <t>IČO/DIČ: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</si>
  <si>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</si>
  <si>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</si>
  <si>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</si>
  <si>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</si>
  <si>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</si>
  <si>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</si>
  <si>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</si>
  <si>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</si>
  <si>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</si>
  <si>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</si>
  <si>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</si>
  <si>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</si>
  <si>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</si>
  <si>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0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</si>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</sst>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7"/>
      <name val="Arial"/>
      <family val="0"/>
    </font>
    <font>
      <sz val="10"/>
      <name val="Arial"/>
      <family val="0"/>
    </font>
    <font>
      <sz val="11"/>
      <name val="Calibri"/>
      <family val="0"/>
    </font>
    <font>
      <sz val="1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b/>
      <sz val="18"/>
      <name val="Arial"/>
      <family val="0"/>
    </font>
    <font>
      <b/>
      <sz val="2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4" fontId="4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1" fillId="33" borderId="18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19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8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1" fillId="34" borderId="0" xfId="0" applyNumberFormat="1" applyFont="1" applyFill="1" applyBorder="1" applyAlignment="1" applyProtection="1">
      <alignment horizontal="left" vertical="center"/>
      <protection/>
    </xf>
    <xf numFmtId="0" fontId="1" fillId="35" borderId="0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4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8" fillId="33" borderId="27" xfId="0" applyNumberFormat="1" applyFont="1" applyFill="1" applyBorder="1" applyAlignment="1" applyProtection="1">
      <alignment horizontal="center" vertical="center"/>
      <protection/>
    </xf>
    <xf numFmtId="0" fontId="8" fillId="33" borderId="28" xfId="0" applyNumberFormat="1" applyFont="1" applyFill="1" applyBorder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horizontal="left" vertical="center"/>
      <protection/>
    </xf>
    <xf numFmtId="0" fontId="11" fillId="0" borderId="22" xfId="0" applyNumberFormat="1" applyFont="1" applyFill="1" applyBorder="1" applyAlignment="1" applyProtection="1">
      <alignment horizontal="left" vertical="center"/>
      <protection/>
    </xf>
    <xf numFmtId="4" fontId="11" fillId="0" borderId="22" xfId="0" applyNumberFormat="1" applyFont="1" applyFill="1" applyBorder="1" applyAlignment="1" applyProtection="1">
      <alignment horizontal="right" vertical="center"/>
      <protection/>
    </xf>
    <xf numFmtId="0" fontId="11" fillId="0" borderId="22" xfId="0" applyNumberFormat="1" applyFont="1" applyFill="1" applyBorder="1" applyAlignment="1" applyProtection="1">
      <alignment horizontal="right" vertical="center"/>
      <protection/>
    </xf>
    <xf numFmtId="0" fontId="10" fillId="0" borderId="30" xfId="0" applyNumberFormat="1" applyFont="1" applyFill="1" applyBorder="1" applyAlignment="1" applyProtection="1">
      <alignment horizontal="left" vertical="center"/>
      <protection/>
    </xf>
    <xf numFmtId="4" fontId="11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19" xfId="0" applyNumberFormat="1" applyFont="1" applyFill="1" applyBorder="1" applyAlignment="1" applyProtection="1">
      <alignment horizontal="right" vertical="center"/>
      <protection/>
    </xf>
    <xf numFmtId="4" fontId="11" fillId="0" borderId="28" xfId="0" applyNumberFormat="1" applyFont="1" applyFill="1" applyBorder="1" applyAlignment="1" applyProtection="1">
      <alignment horizontal="right" vertical="center"/>
      <protection/>
    </xf>
    <xf numFmtId="4" fontId="11" fillId="0" borderId="14" xfId="0" applyNumberFormat="1" applyFont="1" applyFill="1" applyBorder="1" applyAlignment="1" applyProtection="1">
      <alignment horizontal="right" vertical="center"/>
      <protection/>
    </xf>
    <xf numFmtId="4" fontId="10" fillId="33" borderId="28" xfId="0" applyNumberFormat="1" applyFont="1" applyFill="1" applyBorder="1" applyAlignment="1" applyProtection="1">
      <alignment horizontal="right" vertical="center"/>
      <protection/>
    </xf>
    <xf numFmtId="4" fontId="10" fillId="33" borderId="22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0" fontId="11" fillId="0" borderId="22" xfId="0" applyNumberFormat="1" applyFont="1" applyFill="1" applyBorder="1" applyAlignment="1" applyProtection="1">
      <alignment horizontal="left" vertical="center"/>
      <protection/>
    </xf>
    <xf numFmtId="0" fontId="11" fillId="34" borderId="22" xfId="0" applyNumberFormat="1" applyFont="1" applyFill="1" applyBorder="1" applyAlignment="1" applyProtection="1">
      <alignment horizontal="left" vertical="center"/>
      <protection/>
    </xf>
    <xf numFmtId="0" fontId="10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29" xfId="0" applyNumberFormat="1" applyFont="1" applyFill="1" applyBorder="1" applyAlignment="1" applyProtection="1">
      <alignment horizontal="left" vertical="center"/>
      <protection/>
    </xf>
    <xf numFmtId="0" fontId="11" fillId="0" borderId="19" xfId="0" applyNumberFormat="1" applyFont="1" applyFill="1" applyBorder="1" applyAlignment="1" applyProtection="1">
      <alignment horizontal="left" vertical="center"/>
      <protection/>
    </xf>
    <xf numFmtId="0" fontId="10" fillId="34" borderId="27" xfId="0" applyNumberFormat="1" applyFont="1" applyFill="1" applyBorder="1" applyAlignment="1" applyProtection="1">
      <alignment horizontal="left" vertical="center"/>
      <protection/>
    </xf>
    <xf numFmtId="0" fontId="10" fillId="0" borderId="28" xfId="0" applyNumberFormat="1" applyFont="1" applyFill="1" applyBorder="1" applyAlignment="1" applyProtection="1">
      <alignment horizontal="left" vertical="center"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10" fillId="0" borderId="22" xfId="0" applyNumberFormat="1" applyFont="1" applyFill="1" applyBorder="1" applyAlignment="1" applyProtection="1">
      <alignment horizontal="left" vertical="center"/>
      <protection/>
    </xf>
    <xf numFmtId="0" fontId="10" fillId="33" borderId="35" xfId="0" applyNumberFormat="1" applyFont="1" applyFill="1" applyBorder="1" applyAlignment="1" applyProtection="1">
      <alignment horizontal="left" vertical="center"/>
      <protection/>
    </xf>
    <xf numFmtId="0" fontId="10" fillId="33" borderId="20" xfId="0" applyNumberFormat="1" applyFont="1" applyFill="1" applyBorder="1" applyAlignment="1" applyProtection="1">
      <alignment horizontal="left" vertical="center"/>
      <protection/>
    </xf>
    <xf numFmtId="0" fontId="10" fillId="33" borderId="36" xfId="0" applyNumberFormat="1" applyFont="1" applyFill="1" applyBorder="1" applyAlignment="1" applyProtection="1">
      <alignment horizontal="left" vertical="center"/>
      <protection/>
    </xf>
    <xf numFmtId="0" fontId="10" fillId="34" borderId="20" xfId="0" applyNumberFormat="1" applyFont="1" applyFill="1" applyBorder="1" applyAlignment="1" applyProtection="1">
      <alignment horizontal="left" vertical="center"/>
      <protection/>
    </xf>
    <xf numFmtId="0" fontId="10" fillId="34" borderId="21" xfId="0" applyNumberFormat="1" applyFont="1" applyFill="1" applyBorder="1" applyAlignment="1" applyProtection="1">
      <alignment horizontal="left" vertical="center"/>
      <protection/>
    </xf>
    <xf numFmtId="0" fontId="11" fillId="0" borderId="37" xfId="0" applyNumberFormat="1" applyFont="1" applyFill="1" applyBorder="1" applyAlignment="1" applyProtection="1">
      <alignment horizontal="left" vertical="center"/>
      <protection/>
    </xf>
    <xf numFmtId="0" fontId="11" fillId="0" borderId="38" xfId="0" applyNumberFormat="1" applyFont="1" applyFill="1" applyBorder="1" applyAlignment="1" applyProtection="1">
      <alignment horizontal="left" vertical="center"/>
      <protection/>
    </xf>
    <xf numFmtId="0" fontId="11" fillId="0" borderId="39" xfId="0" applyNumberFormat="1" applyFont="1" applyFill="1" applyBorder="1" applyAlignment="1" applyProtection="1">
      <alignment horizontal="left" vertical="center"/>
      <protection/>
    </xf>
    <xf numFmtId="0" fontId="11" fillId="0" borderId="40" xfId="0" applyNumberFormat="1" applyFont="1" applyFill="1" applyBorder="1" applyAlignment="1" applyProtection="1">
      <alignment horizontal="left" vertical="center"/>
      <protection/>
    </xf>
    <xf numFmtId="0" fontId="11" fillId="0" borderId="41" xfId="0" applyNumberFormat="1" applyFont="1" applyFill="1" applyBorder="1" applyAlignment="1" applyProtection="1">
      <alignment horizontal="left" vertical="center"/>
      <protection/>
    </xf>
    <xf numFmtId="0" fontId="11" fillId="0" borderId="17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457200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209550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180975</xdr:colOff>
      <xdr:row>0</xdr:row>
      <xdr:rowOff>666750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5"/>
  <sheetViews>
    <sheetView tabSelected="1" showOutlineSymbols="0" zoomScalePageLayoutView="0" workbookViewId="0" topLeftCell="A1">
      <pane ySplit="11" topLeftCell="A30" activePane="bottomLeft" state="frozen"/>
      <selection pane="topLeft" activeCell="A1" sqref="A1"/>
      <selection pane="bottomLeft" activeCell="B50" sqref="B50"/>
    </sheetView>
  </sheetViews>
  <sheetFormatPr defaultColWidth="17" defaultRowHeight="15" customHeight="1"/>
  <cols>
    <col min="1" max="1" width="4.3984375" style="1" customWidth="1"/>
    <col min="2" max="2" width="20" style="1" customWidth="1"/>
    <col min="3" max="3" width="1.796875" style="1" customWidth="1"/>
    <col min="4" max="4" width="131" style="1" customWidth="1"/>
    <col min="5" max="6" width="13.59765625" style="1" customWidth="1"/>
    <col min="7" max="7" width="5.19921875" style="1" customWidth="1"/>
    <col min="8" max="8" width="14.3984375" style="1" customWidth="1"/>
    <col min="9" max="9" width="13.3984375" style="1" customWidth="1"/>
    <col min="10" max="12" width="17.59765625" style="1" customWidth="1"/>
    <col min="13" max="13" width="16.3984375" style="1" customWidth="1"/>
    <col min="14" max="24" width="17" style="0" customWidth="1"/>
    <col min="25" max="74" width="17" style="1" hidden="1" customWidth="1"/>
  </cols>
  <sheetData>
    <row r="1" spans="1:47" ht="54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AS1" s="2">
        <f>SUM(AJ1:AJ2)</f>
        <v>0</v>
      </c>
      <c r="AT1" s="2">
        <f>SUM(AK1:AK2)</f>
        <v>0</v>
      </c>
      <c r="AU1" s="2">
        <f>SUM(AL1:AL2)</f>
        <v>0</v>
      </c>
    </row>
    <row r="2" spans="1:13" ht="15" customHeight="1">
      <c r="A2" s="53" t="s">
        <v>1</v>
      </c>
      <c r="B2" s="53"/>
      <c r="C2" s="54" t="s">
        <v>2</v>
      </c>
      <c r="D2" s="54"/>
      <c r="E2" s="55" t="s">
        <v>3</v>
      </c>
      <c r="F2" s="55"/>
      <c r="G2" s="55" t="s">
        <v>4</v>
      </c>
      <c r="H2" s="55"/>
      <c r="I2" s="56" t="s">
        <v>5</v>
      </c>
      <c r="J2" s="56"/>
      <c r="K2" s="57" t="s">
        <v>6</v>
      </c>
      <c r="L2" s="57"/>
      <c r="M2" s="57"/>
    </row>
    <row r="3" spans="1:13" ht="15" customHeight="1">
      <c r="A3" s="53"/>
      <c r="B3" s="53"/>
      <c r="C3" s="54"/>
      <c r="D3" s="54"/>
      <c r="E3" s="55"/>
      <c r="F3" s="55"/>
      <c r="G3" s="55"/>
      <c r="H3" s="55"/>
      <c r="I3" s="56"/>
      <c r="J3" s="56"/>
      <c r="K3" s="57"/>
      <c r="L3" s="57"/>
      <c r="M3" s="57"/>
    </row>
    <row r="4" spans="1:13" ht="15" customHeight="1">
      <c r="A4" s="58" t="s">
        <v>7</v>
      </c>
      <c r="B4" s="58"/>
      <c r="C4" s="59" t="s">
        <v>8</v>
      </c>
      <c r="D4" s="59"/>
      <c r="E4" s="60" t="s">
        <v>9</v>
      </c>
      <c r="F4" s="60"/>
      <c r="G4" s="60" t="s">
        <v>4</v>
      </c>
      <c r="H4" s="60"/>
      <c r="I4" s="59" t="s">
        <v>10</v>
      </c>
      <c r="J4" s="59"/>
      <c r="K4" s="61" t="s">
        <v>6</v>
      </c>
      <c r="L4" s="61"/>
      <c r="M4" s="61"/>
    </row>
    <row r="5" spans="1:13" ht="15" customHeight="1">
      <c r="A5" s="58"/>
      <c r="B5" s="58"/>
      <c r="C5" s="59"/>
      <c r="D5" s="59"/>
      <c r="E5" s="60"/>
      <c r="F5" s="60"/>
      <c r="G5" s="60"/>
      <c r="H5" s="60"/>
      <c r="I5" s="59"/>
      <c r="J5" s="59"/>
      <c r="K5" s="61"/>
      <c r="L5" s="61"/>
      <c r="M5" s="61"/>
    </row>
    <row r="6" spans="1:13" ht="15" customHeight="1">
      <c r="A6" s="58" t="s">
        <v>11</v>
      </c>
      <c r="B6" s="58"/>
      <c r="C6" s="59" t="s">
        <v>4</v>
      </c>
      <c r="D6" s="59"/>
      <c r="E6" s="60" t="s">
        <v>12</v>
      </c>
      <c r="F6" s="60"/>
      <c r="G6" s="60" t="s">
        <v>4</v>
      </c>
      <c r="H6" s="60"/>
      <c r="I6" s="59" t="s">
        <v>13</v>
      </c>
      <c r="J6" s="59"/>
      <c r="K6" s="61" t="s">
        <v>6</v>
      </c>
      <c r="L6" s="61"/>
      <c r="M6" s="61"/>
    </row>
    <row r="7" spans="1:13" ht="15" customHeight="1">
      <c r="A7" s="58"/>
      <c r="B7" s="58"/>
      <c r="C7" s="59"/>
      <c r="D7" s="59"/>
      <c r="E7" s="60"/>
      <c r="F7" s="60"/>
      <c r="G7" s="60"/>
      <c r="H7" s="60"/>
      <c r="I7" s="59"/>
      <c r="J7" s="59"/>
      <c r="K7" s="61"/>
      <c r="L7" s="61"/>
      <c r="M7" s="61"/>
    </row>
    <row r="8" spans="1:13" ht="15" customHeight="1">
      <c r="A8" s="58" t="s">
        <v>14</v>
      </c>
      <c r="B8" s="58"/>
      <c r="C8" s="59" t="s">
        <v>4</v>
      </c>
      <c r="D8" s="59"/>
      <c r="E8" s="60" t="s">
        <v>15</v>
      </c>
      <c r="F8" s="60"/>
      <c r="G8" s="60" t="s">
        <v>4</v>
      </c>
      <c r="H8" s="60"/>
      <c r="I8" s="59" t="s">
        <v>16</v>
      </c>
      <c r="J8" s="59"/>
      <c r="K8" s="61" t="s">
        <v>6</v>
      </c>
      <c r="L8" s="61"/>
      <c r="M8" s="61"/>
    </row>
    <row r="9" spans="1:13" ht="15" customHeight="1">
      <c r="A9" s="58"/>
      <c r="B9" s="58"/>
      <c r="C9" s="59"/>
      <c r="D9" s="59"/>
      <c r="E9" s="60"/>
      <c r="F9" s="60"/>
      <c r="G9" s="60"/>
      <c r="H9" s="60"/>
      <c r="I9" s="59"/>
      <c r="J9" s="59"/>
      <c r="K9" s="61"/>
      <c r="L9" s="61"/>
      <c r="M9" s="61"/>
    </row>
    <row r="10" spans="1:64" ht="15" customHeight="1">
      <c r="A10" s="4" t="s">
        <v>17</v>
      </c>
      <c r="B10" s="5" t="s">
        <v>18</v>
      </c>
      <c r="C10" s="62" t="s">
        <v>19</v>
      </c>
      <c r="D10" s="62"/>
      <c r="E10" s="62"/>
      <c r="F10" s="62"/>
      <c r="G10" s="5" t="s">
        <v>20</v>
      </c>
      <c r="H10" s="6" t="s">
        <v>21</v>
      </c>
      <c r="I10" s="7" t="s">
        <v>22</v>
      </c>
      <c r="J10" s="63" t="s">
        <v>23</v>
      </c>
      <c r="K10" s="63"/>
      <c r="L10" s="63"/>
      <c r="M10" s="6" t="s">
        <v>24</v>
      </c>
      <c r="BK10" s="8" t="s">
        <v>25</v>
      </c>
      <c r="BL10" s="9" t="s">
        <v>26</v>
      </c>
    </row>
    <row r="11" spans="1:62" ht="15" customHeight="1">
      <c r="A11" s="10" t="s">
        <v>4</v>
      </c>
      <c r="B11" s="11" t="s">
        <v>4</v>
      </c>
      <c r="C11" s="64" t="s">
        <v>27</v>
      </c>
      <c r="D11" s="64"/>
      <c r="E11" s="64"/>
      <c r="F11" s="64"/>
      <c r="G11" s="11" t="s">
        <v>4</v>
      </c>
      <c r="H11" s="11" t="s">
        <v>4</v>
      </c>
      <c r="I11" s="12" t="s">
        <v>28</v>
      </c>
      <c r="J11" s="13" t="s">
        <v>29</v>
      </c>
      <c r="K11" s="14" t="s">
        <v>30</v>
      </c>
      <c r="L11" s="15" t="s">
        <v>31</v>
      </c>
      <c r="M11" s="14" t="s">
        <v>32</v>
      </c>
      <c r="Z11" s="8" t="s">
        <v>33</v>
      </c>
      <c r="AA11" s="8" t="s">
        <v>34</v>
      </c>
      <c r="AB11" s="8" t="s">
        <v>35</v>
      </c>
      <c r="AC11" s="8" t="s">
        <v>36</v>
      </c>
      <c r="AD11" s="8" t="s">
        <v>37</v>
      </c>
      <c r="AE11" s="8" t="s">
        <v>38</v>
      </c>
      <c r="AF11" s="8" t="s">
        <v>39</v>
      </c>
      <c r="AG11" s="8" t="s">
        <v>40</v>
      </c>
      <c r="AH11" s="8" t="s">
        <v>41</v>
      </c>
      <c r="BH11" s="8" t="s">
        <v>42</v>
      </c>
      <c r="BI11" s="8" t="s">
        <v>43</v>
      </c>
      <c r="BJ11" s="8" t="s">
        <v>44</v>
      </c>
    </row>
    <row r="12" spans="1:47" ht="15" customHeight="1">
      <c r="A12" s="16"/>
      <c r="B12" s="17" t="s">
        <v>45</v>
      </c>
      <c r="C12" s="65" t="s">
        <v>46</v>
      </c>
      <c r="D12" s="65"/>
      <c r="E12" s="65"/>
      <c r="F12" s="65"/>
      <c r="G12" s="18" t="s">
        <v>4</v>
      </c>
      <c r="H12" s="18" t="s">
        <v>4</v>
      </c>
      <c r="I12" s="18" t="s">
        <v>4</v>
      </c>
      <c r="J12" s="2">
        <f>SUM(J13:J17)</f>
        <v>0</v>
      </c>
      <c r="K12" s="2">
        <f>SUM(K13:K17)</f>
        <v>0</v>
      </c>
      <c r="L12" s="2">
        <f>SUM(L13:L17)</f>
        <v>0</v>
      </c>
      <c r="M12" s="19"/>
      <c r="AI12" s="8"/>
      <c r="AS12" s="2">
        <f>SUM(AJ13:AJ17)</f>
        <v>0</v>
      </c>
      <c r="AT12" s="2">
        <f>SUM(AK13:AK17)</f>
        <v>0</v>
      </c>
      <c r="AU12" s="2">
        <f>SUM(AL13:AL17)</f>
        <v>0</v>
      </c>
    </row>
    <row r="13" spans="1:64" ht="15" customHeight="1">
      <c r="A13" s="20" t="s">
        <v>47</v>
      </c>
      <c r="B13" s="3" t="s">
        <v>48</v>
      </c>
      <c r="C13" s="60" t="s">
        <v>49</v>
      </c>
      <c r="D13" s="60"/>
      <c r="E13" s="60"/>
      <c r="F13" s="60"/>
      <c r="G13" s="3" t="s">
        <v>50</v>
      </c>
      <c r="H13" s="21">
        <v>360</v>
      </c>
      <c r="I13" s="21">
        <v>0</v>
      </c>
      <c r="J13" s="21">
        <f>H13*AO13</f>
        <v>0</v>
      </c>
      <c r="K13" s="21">
        <f>H13*AP13</f>
        <v>0</v>
      </c>
      <c r="L13" s="21">
        <f>H13*I13</f>
        <v>0</v>
      </c>
      <c r="M13" s="22" t="s">
        <v>51</v>
      </c>
      <c r="Z13" s="21">
        <f>IF(AQ13="5",BJ13,0)</f>
        <v>0</v>
      </c>
      <c r="AB13" s="21">
        <f>IF(AQ13="1",BH13,0)</f>
        <v>0</v>
      </c>
      <c r="AC13" s="21">
        <f>IF(AQ13="1",BI13,0)</f>
        <v>0</v>
      </c>
      <c r="AD13" s="21">
        <f>IF(AQ13="7",BH13,0)</f>
        <v>0</v>
      </c>
      <c r="AE13" s="21">
        <f>IF(AQ13="7",BI13,0)</f>
        <v>0</v>
      </c>
      <c r="AF13" s="21">
        <f>IF(AQ13="2",BH13,0)</f>
        <v>0</v>
      </c>
      <c r="AG13" s="21">
        <f>IF(AQ13="2",BI13,0)</f>
        <v>0</v>
      </c>
      <c r="AH13" s="21">
        <f>IF(AQ13="0",BJ13,0)</f>
        <v>0</v>
      </c>
      <c r="AI13" s="8"/>
      <c r="AJ13" s="21">
        <f>IF(AN13=0,L13,0)</f>
        <v>0</v>
      </c>
      <c r="AK13" s="21">
        <f>IF(AN13=15,L13,0)</f>
        <v>0</v>
      </c>
      <c r="AL13" s="21">
        <f>IF(AN13=21,L13,0)</f>
        <v>0</v>
      </c>
      <c r="AN13" s="21">
        <v>21</v>
      </c>
      <c r="AO13" s="21">
        <f>I13*0</f>
        <v>0</v>
      </c>
      <c r="AP13" s="21">
        <f>I13*(1-0)</f>
        <v>0</v>
      </c>
      <c r="AQ13" s="23" t="s">
        <v>47</v>
      </c>
      <c r="AV13" s="21">
        <f>AW13+AX13</f>
        <v>0</v>
      </c>
      <c r="AW13" s="21">
        <f>H13*AO13</f>
        <v>0</v>
      </c>
      <c r="AX13" s="21">
        <f>H13*AP13</f>
        <v>0</v>
      </c>
      <c r="AY13" s="23" t="s">
        <v>52</v>
      </c>
      <c r="AZ13" s="23" t="s">
        <v>53</v>
      </c>
      <c r="BA13" s="8" t="s">
        <v>54</v>
      </c>
      <c r="BC13" s="21">
        <f>AW13+AX13</f>
        <v>0</v>
      </c>
      <c r="BD13" s="21">
        <f>I13/(100-BE13)*100</f>
        <v>0</v>
      </c>
      <c r="BE13" s="21">
        <v>0</v>
      </c>
      <c r="BF13" s="21">
        <f>13</f>
        <v>13</v>
      </c>
      <c r="BH13" s="21">
        <f>H13*AO13</f>
        <v>0</v>
      </c>
      <c r="BI13" s="21">
        <f>H13*AP13</f>
        <v>0</v>
      </c>
      <c r="BJ13" s="21">
        <f>H13*I13</f>
        <v>0</v>
      </c>
      <c r="BK13" s="21"/>
      <c r="BL13" s="21">
        <v>11</v>
      </c>
    </row>
    <row r="14" spans="1:13" ht="13.5" customHeight="1">
      <c r="A14" s="24"/>
      <c r="B14" s="25" t="s">
        <v>55</v>
      </c>
      <c r="C14" s="66" t="s">
        <v>56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64" ht="15" customHeight="1">
      <c r="A15" s="20" t="s">
        <v>57</v>
      </c>
      <c r="B15" s="3" t="s">
        <v>58</v>
      </c>
      <c r="C15" s="60" t="s">
        <v>59</v>
      </c>
      <c r="D15" s="60"/>
      <c r="E15" s="60"/>
      <c r="F15" s="60"/>
      <c r="G15" s="3" t="s">
        <v>60</v>
      </c>
      <c r="H15" s="21">
        <v>15</v>
      </c>
      <c r="I15" s="21">
        <v>0</v>
      </c>
      <c r="J15" s="21">
        <f>H15*AO15</f>
        <v>0</v>
      </c>
      <c r="K15" s="21">
        <f>H15*AP15</f>
        <v>0</v>
      </c>
      <c r="L15" s="21">
        <f>H15*I15</f>
        <v>0</v>
      </c>
      <c r="M15" s="22" t="s">
        <v>51</v>
      </c>
      <c r="Z15" s="21">
        <f>IF(AQ15="5",BJ15,0)</f>
        <v>0</v>
      </c>
      <c r="AB15" s="21">
        <f>IF(AQ15="1",BH15,0)</f>
        <v>0</v>
      </c>
      <c r="AC15" s="21">
        <f>IF(AQ15="1",BI15,0)</f>
        <v>0</v>
      </c>
      <c r="AD15" s="21">
        <f>IF(AQ15="7",BH15,0)</f>
        <v>0</v>
      </c>
      <c r="AE15" s="21">
        <f>IF(AQ15="7",BI15,0)</f>
        <v>0</v>
      </c>
      <c r="AF15" s="21">
        <f>IF(AQ15="2",BH15,0)</f>
        <v>0</v>
      </c>
      <c r="AG15" s="21">
        <f>IF(AQ15="2",BI15,0)</f>
        <v>0</v>
      </c>
      <c r="AH15" s="21">
        <f>IF(AQ15="0",BJ15,0)</f>
        <v>0</v>
      </c>
      <c r="AI15" s="8"/>
      <c r="AJ15" s="21">
        <f>IF(AN15=0,L15,0)</f>
        <v>0</v>
      </c>
      <c r="AK15" s="21">
        <f>IF(AN15=15,L15,0)</f>
        <v>0</v>
      </c>
      <c r="AL15" s="21">
        <f>IF(AN15=21,L15,0)</f>
        <v>0</v>
      </c>
      <c r="AN15" s="21">
        <v>21</v>
      </c>
      <c r="AO15" s="21">
        <f>I15*0</f>
        <v>0</v>
      </c>
      <c r="AP15" s="21">
        <f>I15*(1-0)</f>
        <v>0</v>
      </c>
      <c r="AQ15" s="23" t="s">
        <v>47</v>
      </c>
      <c r="AV15" s="21">
        <f>AW15+AX15</f>
        <v>0</v>
      </c>
      <c r="AW15" s="21">
        <f>H15*AO15</f>
        <v>0</v>
      </c>
      <c r="AX15" s="21">
        <f>H15*AP15</f>
        <v>0</v>
      </c>
      <c r="AY15" s="23" t="s">
        <v>52</v>
      </c>
      <c r="AZ15" s="23" t="s">
        <v>53</v>
      </c>
      <c r="BA15" s="8" t="s">
        <v>54</v>
      </c>
      <c r="BC15" s="21">
        <f>AW15+AX15</f>
        <v>0</v>
      </c>
      <c r="BD15" s="21">
        <f>I15/(100-BE15)*100</f>
        <v>0</v>
      </c>
      <c r="BE15" s="21">
        <v>0</v>
      </c>
      <c r="BF15" s="21">
        <f>15</f>
        <v>15</v>
      </c>
      <c r="BH15" s="21">
        <f>H15*AO15</f>
        <v>0</v>
      </c>
      <c r="BI15" s="21">
        <f>H15*AP15</f>
        <v>0</v>
      </c>
      <c r="BJ15" s="21">
        <f>H15*I15</f>
        <v>0</v>
      </c>
      <c r="BK15" s="21"/>
      <c r="BL15" s="21">
        <v>11</v>
      </c>
    </row>
    <row r="16" spans="1:64" ht="15" customHeight="1">
      <c r="A16" s="20" t="s">
        <v>61</v>
      </c>
      <c r="B16" s="3" t="s">
        <v>62</v>
      </c>
      <c r="C16" s="60" t="s">
        <v>63</v>
      </c>
      <c r="D16" s="60"/>
      <c r="E16" s="60"/>
      <c r="F16" s="60"/>
      <c r="G16" s="3" t="s">
        <v>64</v>
      </c>
      <c r="H16" s="21">
        <v>20</v>
      </c>
      <c r="I16" s="21">
        <v>0</v>
      </c>
      <c r="J16" s="21">
        <f>H16*AO16</f>
        <v>0</v>
      </c>
      <c r="K16" s="21">
        <f>H16*AP16</f>
        <v>0</v>
      </c>
      <c r="L16" s="21">
        <f>H16*I16</f>
        <v>0</v>
      </c>
      <c r="M16" s="22" t="s">
        <v>51</v>
      </c>
      <c r="Z16" s="21">
        <f>IF(AQ16="5",BJ16,0)</f>
        <v>0</v>
      </c>
      <c r="AB16" s="21">
        <f>IF(AQ16="1",BH16,0)</f>
        <v>0</v>
      </c>
      <c r="AC16" s="21">
        <f>IF(AQ16="1",BI16,0)</f>
        <v>0</v>
      </c>
      <c r="AD16" s="21">
        <f>IF(AQ16="7",BH16,0)</f>
        <v>0</v>
      </c>
      <c r="AE16" s="21">
        <f>IF(AQ16="7",BI16,0)</f>
        <v>0</v>
      </c>
      <c r="AF16" s="21">
        <f>IF(AQ16="2",BH16,0)</f>
        <v>0</v>
      </c>
      <c r="AG16" s="21">
        <f>IF(AQ16="2",BI16,0)</f>
        <v>0</v>
      </c>
      <c r="AH16" s="21">
        <f>IF(AQ16="0",BJ16,0)</f>
        <v>0</v>
      </c>
      <c r="AI16" s="8"/>
      <c r="AJ16" s="21">
        <f>IF(AN16=0,L16,0)</f>
        <v>0</v>
      </c>
      <c r="AK16" s="21">
        <f>IF(AN16=15,L16,0)</f>
        <v>0</v>
      </c>
      <c r="AL16" s="21">
        <f>IF(AN16=21,L16,0)</f>
        <v>0</v>
      </c>
      <c r="AN16" s="21">
        <v>21</v>
      </c>
      <c r="AO16" s="21">
        <f>I16*0.368528267943596</f>
        <v>0</v>
      </c>
      <c r="AP16" s="21">
        <f>I16*(1-0.368528267943596)</f>
        <v>0</v>
      </c>
      <c r="AQ16" s="23" t="s">
        <v>47</v>
      </c>
      <c r="AV16" s="21">
        <f>AW16+AX16</f>
        <v>0</v>
      </c>
      <c r="AW16" s="21">
        <f>H16*AO16</f>
        <v>0</v>
      </c>
      <c r="AX16" s="21">
        <f>H16*AP16</f>
        <v>0</v>
      </c>
      <c r="AY16" s="23" t="s">
        <v>52</v>
      </c>
      <c r="AZ16" s="23" t="s">
        <v>53</v>
      </c>
      <c r="BA16" s="8" t="s">
        <v>54</v>
      </c>
      <c r="BC16" s="21">
        <f>AW16+AX16</f>
        <v>0</v>
      </c>
      <c r="BD16" s="21">
        <f>I16/(100-BE16)*100</f>
        <v>0</v>
      </c>
      <c r="BE16" s="21">
        <v>0</v>
      </c>
      <c r="BF16" s="21">
        <f>16</f>
        <v>16</v>
      </c>
      <c r="BH16" s="21">
        <f>H16*AO16</f>
        <v>0</v>
      </c>
      <c r="BI16" s="21">
        <f>H16*AP16</f>
        <v>0</v>
      </c>
      <c r="BJ16" s="21">
        <f>H16*I16</f>
        <v>0</v>
      </c>
      <c r="BK16" s="21"/>
      <c r="BL16" s="21">
        <v>11</v>
      </c>
    </row>
    <row r="17" spans="1:64" ht="15" customHeight="1">
      <c r="A17" s="20" t="s">
        <v>65</v>
      </c>
      <c r="B17" s="3" t="s">
        <v>66</v>
      </c>
      <c r="C17" s="60" t="s">
        <v>67</v>
      </c>
      <c r="D17" s="60"/>
      <c r="E17" s="60"/>
      <c r="F17" s="60"/>
      <c r="G17" s="3" t="s">
        <v>64</v>
      </c>
      <c r="H17" s="21">
        <v>20</v>
      </c>
      <c r="I17" s="21">
        <v>0</v>
      </c>
      <c r="J17" s="21">
        <f>H17*AO17</f>
        <v>0</v>
      </c>
      <c r="K17" s="21">
        <f>H17*AP17</f>
        <v>0</v>
      </c>
      <c r="L17" s="21">
        <f>H17*I17</f>
        <v>0</v>
      </c>
      <c r="M17" s="22" t="s">
        <v>51</v>
      </c>
      <c r="Z17" s="21">
        <f>IF(AQ17="5",BJ17,0)</f>
        <v>0</v>
      </c>
      <c r="AB17" s="21">
        <f>IF(AQ17="1",BH17,0)</f>
        <v>0</v>
      </c>
      <c r="AC17" s="21">
        <f>IF(AQ17="1",BI17,0)</f>
        <v>0</v>
      </c>
      <c r="AD17" s="21">
        <f>IF(AQ17="7",BH17,0)</f>
        <v>0</v>
      </c>
      <c r="AE17" s="21">
        <f>IF(AQ17="7",BI17,0)</f>
        <v>0</v>
      </c>
      <c r="AF17" s="21">
        <f>IF(AQ17="2",BH17,0)</f>
        <v>0</v>
      </c>
      <c r="AG17" s="21">
        <f>IF(AQ17="2",BI17,0)</f>
        <v>0</v>
      </c>
      <c r="AH17" s="21">
        <f>IF(AQ17="0",BJ17,0)</f>
        <v>0</v>
      </c>
      <c r="AI17" s="8"/>
      <c r="AJ17" s="21">
        <f>IF(AN17=0,L17,0)</f>
        <v>0</v>
      </c>
      <c r="AK17" s="21">
        <f>IF(AN17=15,L17,0)</f>
        <v>0</v>
      </c>
      <c r="AL17" s="21">
        <f>IF(AN17=21,L17,0)</f>
        <v>0</v>
      </c>
      <c r="AN17" s="21">
        <v>21</v>
      </c>
      <c r="AO17" s="21">
        <f>I17*0.321893333333333</f>
        <v>0</v>
      </c>
      <c r="AP17" s="21">
        <f>I17*(1-0.321893333333333)</f>
        <v>0</v>
      </c>
      <c r="AQ17" s="23" t="s">
        <v>47</v>
      </c>
      <c r="AV17" s="21">
        <f>AW17+AX17</f>
        <v>0</v>
      </c>
      <c r="AW17" s="21">
        <f>H17*AO17</f>
        <v>0</v>
      </c>
      <c r="AX17" s="21">
        <f>H17*AP17</f>
        <v>0</v>
      </c>
      <c r="AY17" s="23" t="s">
        <v>52</v>
      </c>
      <c r="AZ17" s="23" t="s">
        <v>53</v>
      </c>
      <c r="BA17" s="8" t="s">
        <v>54</v>
      </c>
      <c r="BC17" s="21">
        <f>AW17+AX17</f>
        <v>0</v>
      </c>
      <c r="BD17" s="21">
        <f>I17/(100-BE17)*100</f>
        <v>0</v>
      </c>
      <c r="BE17" s="21">
        <v>0</v>
      </c>
      <c r="BF17" s="21">
        <f>17</f>
        <v>17</v>
      </c>
      <c r="BH17" s="21">
        <f>H17*AO17</f>
        <v>0</v>
      </c>
      <c r="BI17" s="21">
        <f>H17*AP17</f>
        <v>0</v>
      </c>
      <c r="BJ17" s="21">
        <f>H17*I17</f>
        <v>0</v>
      </c>
      <c r="BK17" s="21"/>
      <c r="BL17" s="21">
        <v>11</v>
      </c>
    </row>
    <row r="18" spans="1:47" ht="15" customHeight="1">
      <c r="A18" s="16"/>
      <c r="B18" s="17" t="s">
        <v>68</v>
      </c>
      <c r="C18" s="65" t="s">
        <v>69</v>
      </c>
      <c r="D18" s="65"/>
      <c r="E18" s="65"/>
      <c r="F18" s="65"/>
      <c r="G18" s="18" t="s">
        <v>4</v>
      </c>
      <c r="H18" s="18" t="s">
        <v>4</v>
      </c>
      <c r="I18" s="18" t="s">
        <v>4</v>
      </c>
      <c r="J18" s="2">
        <f>SUM(J19:J23)</f>
        <v>0</v>
      </c>
      <c r="K18" s="2">
        <f>SUM(K19:K23)</f>
        <v>0</v>
      </c>
      <c r="L18" s="2">
        <f>SUM(L19:L23)</f>
        <v>0</v>
      </c>
      <c r="M18" s="19"/>
      <c r="AI18" s="8"/>
      <c r="AS18" s="2">
        <f>SUM(AJ19:AJ23)</f>
        <v>0</v>
      </c>
      <c r="AT18" s="2">
        <f>SUM(AK19:AK23)</f>
        <v>0</v>
      </c>
      <c r="AU18" s="2">
        <f>SUM(AL19:AL23)</f>
        <v>0</v>
      </c>
    </row>
    <row r="19" spans="1:64" ht="15" customHeight="1">
      <c r="A19" s="20" t="s">
        <v>70</v>
      </c>
      <c r="B19" s="3" t="s">
        <v>71</v>
      </c>
      <c r="C19" s="60" t="s">
        <v>72</v>
      </c>
      <c r="D19" s="60"/>
      <c r="E19" s="60"/>
      <c r="F19" s="60"/>
      <c r="G19" s="3" t="s">
        <v>73</v>
      </c>
      <c r="H19" s="21">
        <v>18</v>
      </c>
      <c r="I19" s="21">
        <v>0</v>
      </c>
      <c r="J19" s="21">
        <f>H19*AO19</f>
        <v>0</v>
      </c>
      <c r="K19" s="21">
        <f>H19*AP19</f>
        <v>0</v>
      </c>
      <c r="L19" s="21">
        <f>H19*I19</f>
        <v>0</v>
      </c>
      <c r="M19" s="22" t="s">
        <v>51</v>
      </c>
      <c r="Z19" s="21">
        <f>IF(AQ19="5",BJ19,0)</f>
        <v>0</v>
      </c>
      <c r="AB19" s="21">
        <f>IF(AQ19="1",BH19,0)</f>
        <v>0</v>
      </c>
      <c r="AC19" s="21">
        <f>IF(AQ19="1",BI19,0)</f>
        <v>0</v>
      </c>
      <c r="AD19" s="21">
        <f>IF(AQ19="7",BH19,0)</f>
        <v>0</v>
      </c>
      <c r="AE19" s="21">
        <f>IF(AQ19="7",BI19,0)</f>
        <v>0</v>
      </c>
      <c r="AF19" s="21">
        <f>IF(AQ19="2",BH19,0)</f>
        <v>0</v>
      </c>
      <c r="AG19" s="21">
        <f>IF(AQ19="2",BI19,0)</f>
        <v>0</v>
      </c>
      <c r="AH19" s="21">
        <f>IF(AQ19="0",BJ19,0)</f>
        <v>0</v>
      </c>
      <c r="AI19" s="8"/>
      <c r="AJ19" s="21">
        <f>IF(AN19=0,L19,0)</f>
        <v>0</v>
      </c>
      <c r="AK19" s="21">
        <f>IF(AN19=15,L19,0)</f>
        <v>0</v>
      </c>
      <c r="AL19" s="21">
        <f>IF(AN19=21,L19,0)</f>
        <v>0</v>
      </c>
      <c r="AN19" s="21">
        <v>21</v>
      </c>
      <c r="AO19" s="21">
        <f>I19*0</f>
        <v>0</v>
      </c>
      <c r="AP19" s="21">
        <f>I19*(1-0)</f>
        <v>0</v>
      </c>
      <c r="AQ19" s="23" t="s">
        <v>47</v>
      </c>
      <c r="AV19" s="21">
        <f>AW19+AX19</f>
        <v>0</v>
      </c>
      <c r="AW19" s="21">
        <f>H19*AO19</f>
        <v>0</v>
      </c>
      <c r="AX19" s="21">
        <f>H19*AP19</f>
        <v>0</v>
      </c>
      <c r="AY19" s="23" t="s">
        <v>74</v>
      </c>
      <c r="AZ19" s="23" t="s">
        <v>53</v>
      </c>
      <c r="BA19" s="8" t="s">
        <v>54</v>
      </c>
      <c r="BC19" s="21">
        <f>AW19+AX19</f>
        <v>0</v>
      </c>
      <c r="BD19" s="21">
        <f>I19/(100-BE19)*100</f>
        <v>0</v>
      </c>
      <c r="BE19" s="21">
        <v>0</v>
      </c>
      <c r="BF19" s="21">
        <f>19</f>
        <v>19</v>
      </c>
      <c r="BH19" s="21">
        <f>H19*AO19</f>
        <v>0</v>
      </c>
      <c r="BI19" s="21">
        <f>H19*AP19</f>
        <v>0</v>
      </c>
      <c r="BJ19" s="21">
        <f>H19*I19</f>
        <v>0</v>
      </c>
      <c r="BK19" s="21"/>
      <c r="BL19" s="21">
        <v>12</v>
      </c>
    </row>
    <row r="20" spans="1:13" ht="13.5" customHeight="1">
      <c r="A20" s="24"/>
      <c r="B20" s="25" t="s">
        <v>55</v>
      </c>
      <c r="C20" s="66" t="s">
        <v>75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1:64" ht="15" customHeight="1">
      <c r="A21" s="20" t="s">
        <v>76</v>
      </c>
      <c r="B21" s="3" t="s">
        <v>77</v>
      </c>
      <c r="C21" s="60" t="s">
        <v>78</v>
      </c>
      <c r="D21" s="60"/>
      <c r="E21" s="60"/>
      <c r="F21" s="60"/>
      <c r="G21" s="3" t="s">
        <v>73</v>
      </c>
      <c r="H21" s="21">
        <v>57.6</v>
      </c>
      <c r="I21" s="21">
        <v>0</v>
      </c>
      <c r="J21" s="21">
        <f>H21*AO21</f>
        <v>0</v>
      </c>
      <c r="K21" s="21">
        <f>H21*AP21</f>
        <v>0</v>
      </c>
      <c r="L21" s="21">
        <f>H21*I21</f>
        <v>0</v>
      </c>
      <c r="M21" s="22" t="s">
        <v>51</v>
      </c>
      <c r="Z21" s="21">
        <f>IF(AQ21="5",BJ21,0)</f>
        <v>0</v>
      </c>
      <c r="AB21" s="21">
        <f>IF(AQ21="1",BH21,0)</f>
        <v>0</v>
      </c>
      <c r="AC21" s="21">
        <f>IF(AQ21="1",BI21,0)</f>
        <v>0</v>
      </c>
      <c r="AD21" s="21">
        <f>IF(AQ21="7",BH21,0)</f>
        <v>0</v>
      </c>
      <c r="AE21" s="21">
        <f>IF(AQ21="7",BI21,0)</f>
        <v>0</v>
      </c>
      <c r="AF21" s="21">
        <f>IF(AQ21="2",BH21,0)</f>
        <v>0</v>
      </c>
      <c r="AG21" s="21">
        <f>IF(AQ21="2",BI21,0)</f>
        <v>0</v>
      </c>
      <c r="AH21" s="21">
        <f>IF(AQ21="0",BJ21,0)</f>
        <v>0</v>
      </c>
      <c r="AI21" s="8"/>
      <c r="AJ21" s="21">
        <f>IF(AN21=0,L21,0)</f>
        <v>0</v>
      </c>
      <c r="AK21" s="21">
        <f>IF(AN21=15,L21,0)</f>
        <v>0</v>
      </c>
      <c r="AL21" s="21">
        <f>IF(AN21=21,L21,0)</f>
        <v>0</v>
      </c>
      <c r="AN21" s="21">
        <v>21</v>
      </c>
      <c r="AO21" s="21">
        <f>I21*0</f>
        <v>0</v>
      </c>
      <c r="AP21" s="21">
        <f>I21*(1-0)</f>
        <v>0</v>
      </c>
      <c r="AQ21" s="23" t="s">
        <v>47</v>
      </c>
      <c r="AV21" s="21">
        <f>AW21+AX21</f>
        <v>0</v>
      </c>
      <c r="AW21" s="21">
        <f>H21*AO21</f>
        <v>0</v>
      </c>
      <c r="AX21" s="21">
        <f>H21*AP21</f>
        <v>0</v>
      </c>
      <c r="AY21" s="23" t="s">
        <v>74</v>
      </c>
      <c r="AZ21" s="23" t="s">
        <v>53</v>
      </c>
      <c r="BA21" s="8" t="s">
        <v>54</v>
      </c>
      <c r="BC21" s="21">
        <f>AW21+AX21</f>
        <v>0</v>
      </c>
      <c r="BD21" s="21">
        <f>I21/(100-BE21)*100</f>
        <v>0</v>
      </c>
      <c r="BE21" s="21">
        <v>0</v>
      </c>
      <c r="BF21" s="21">
        <f>21</f>
        <v>21</v>
      </c>
      <c r="BH21" s="21">
        <f>H21*AO21</f>
        <v>0</v>
      </c>
      <c r="BI21" s="21">
        <f>H21*AP21</f>
        <v>0</v>
      </c>
      <c r="BJ21" s="21">
        <f>H21*I21</f>
        <v>0</v>
      </c>
      <c r="BK21" s="21"/>
      <c r="BL21" s="21">
        <v>12</v>
      </c>
    </row>
    <row r="22" spans="1:13" ht="27" customHeight="1">
      <c r="A22" s="24"/>
      <c r="B22" s="25" t="s">
        <v>55</v>
      </c>
      <c r="C22" s="66" t="s">
        <v>79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1:64" ht="15" customHeight="1">
      <c r="A23" s="20" t="s">
        <v>80</v>
      </c>
      <c r="B23" s="3" t="s">
        <v>81</v>
      </c>
      <c r="C23" s="60" t="s">
        <v>82</v>
      </c>
      <c r="D23" s="60"/>
      <c r="E23" s="60"/>
      <c r="F23" s="60"/>
      <c r="G23" s="3" t="s">
        <v>73</v>
      </c>
      <c r="H23" s="21">
        <v>57.6</v>
      </c>
      <c r="I23" s="21">
        <v>0</v>
      </c>
      <c r="J23" s="21">
        <f>H23*AO23</f>
        <v>0</v>
      </c>
      <c r="K23" s="21">
        <f>H23*AP23</f>
        <v>0</v>
      </c>
      <c r="L23" s="21">
        <f>H23*I23</f>
        <v>0</v>
      </c>
      <c r="M23" s="22" t="s">
        <v>51</v>
      </c>
      <c r="Z23" s="21">
        <f>IF(AQ23="5",BJ23,0)</f>
        <v>0</v>
      </c>
      <c r="AB23" s="21">
        <f>IF(AQ23="1",BH23,0)</f>
        <v>0</v>
      </c>
      <c r="AC23" s="21">
        <f>IF(AQ23="1",BI23,0)</f>
        <v>0</v>
      </c>
      <c r="AD23" s="21">
        <f>IF(AQ23="7",BH23,0)</f>
        <v>0</v>
      </c>
      <c r="AE23" s="21">
        <f>IF(AQ23="7",BI23,0)</f>
        <v>0</v>
      </c>
      <c r="AF23" s="21">
        <f>IF(AQ23="2",BH23,0)</f>
        <v>0</v>
      </c>
      <c r="AG23" s="21">
        <f>IF(AQ23="2",BI23,0)</f>
        <v>0</v>
      </c>
      <c r="AH23" s="21">
        <f>IF(AQ23="0",BJ23,0)</f>
        <v>0</v>
      </c>
      <c r="AI23" s="8"/>
      <c r="AJ23" s="21">
        <f>IF(AN23=0,L23,0)</f>
        <v>0</v>
      </c>
      <c r="AK23" s="21">
        <f>IF(AN23=15,L23,0)</f>
        <v>0</v>
      </c>
      <c r="AL23" s="21">
        <f>IF(AN23=21,L23,0)</f>
        <v>0</v>
      </c>
      <c r="AN23" s="21">
        <v>21</v>
      </c>
      <c r="AO23" s="21">
        <f>I23*0</f>
        <v>0</v>
      </c>
      <c r="AP23" s="21">
        <f>I23*(1-0)</f>
        <v>0</v>
      </c>
      <c r="AQ23" s="23" t="s">
        <v>47</v>
      </c>
      <c r="AV23" s="21">
        <f>AW23+AX23</f>
        <v>0</v>
      </c>
      <c r="AW23" s="21">
        <f>H23*AO23</f>
        <v>0</v>
      </c>
      <c r="AX23" s="21">
        <f>H23*AP23</f>
        <v>0</v>
      </c>
      <c r="AY23" s="23" t="s">
        <v>74</v>
      </c>
      <c r="AZ23" s="23" t="s">
        <v>53</v>
      </c>
      <c r="BA23" s="8" t="s">
        <v>54</v>
      </c>
      <c r="BC23" s="21">
        <f>AW23+AX23</f>
        <v>0</v>
      </c>
      <c r="BD23" s="21">
        <f>I23/(100-BE23)*100</f>
        <v>0</v>
      </c>
      <c r="BE23" s="21">
        <v>0</v>
      </c>
      <c r="BF23" s="21">
        <f>23</f>
        <v>23</v>
      </c>
      <c r="BH23" s="21">
        <f>H23*AO23</f>
        <v>0</v>
      </c>
      <c r="BI23" s="21">
        <f>H23*AP23</f>
        <v>0</v>
      </c>
      <c r="BJ23" s="21">
        <f>H23*I23</f>
        <v>0</v>
      </c>
      <c r="BK23" s="21"/>
      <c r="BL23" s="21">
        <v>12</v>
      </c>
    </row>
    <row r="24" spans="1:47" ht="15" customHeight="1">
      <c r="A24" s="16"/>
      <c r="B24" s="17" t="s">
        <v>83</v>
      </c>
      <c r="C24" s="65" t="s">
        <v>84</v>
      </c>
      <c r="D24" s="65"/>
      <c r="E24" s="65"/>
      <c r="F24" s="65"/>
      <c r="G24" s="18" t="s">
        <v>4</v>
      </c>
      <c r="H24" s="18" t="s">
        <v>4</v>
      </c>
      <c r="I24" s="18" t="s">
        <v>4</v>
      </c>
      <c r="J24" s="2">
        <f>SUM(J25:J29)</f>
        <v>0</v>
      </c>
      <c r="K24" s="2">
        <f>SUM(K25:K29)</f>
        <v>0</v>
      </c>
      <c r="L24" s="2">
        <f>SUM(L25:L29)</f>
        <v>0</v>
      </c>
      <c r="M24" s="19"/>
      <c r="AI24" s="8"/>
      <c r="AS24" s="2">
        <f>SUM(AJ25:AJ29)</f>
        <v>0</v>
      </c>
      <c r="AT24" s="2">
        <f>SUM(AK25:AK29)</f>
        <v>0</v>
      </c>
      <c r="AU24" s="2">
        <f>SUM(AL25:AL29)</f>
        <v>0</v>
      </c>
    </row>
    <row r="25" spans="1:64" ht="15" customHeight="1">
      <c r="A25" s="20" t="s">
        <v>85</v>
      </c>
      <c r="B25" s="26" t="s">
        <v>86</v>
      </c>
      <c r="C25" s="60" t="s">
        <v>87</v>
      </c>
      <c r="D25" s="60"/>
      <c r="E25" s="60"/>
      <c r="F25" s="60"/>
      <c r="G25" s="3" t="s">
        <v>88</v>
      </c>
      <c r="H25" s="21">
        <v>54</v>
      </c>
      <c r="I25" s="21">
        <v>0</v>
      </c>
      <c r="J25" s="21">
        <f>H25*AO25</f>
        <v>0</v>
      </c>
      <c r="K25" s="21">
        <f>H25*AP25</f>
        <v>0</v>
      </c>
      <c r="L25" s="21">
        <f>H25*I25</f>
        <v>0</v>
      </c>
      <c r="M25" s="22" t="s">
        <v>51</v>
      </c>
      <c r="Z25" s="21">
        <f>IF(AQ25="5",BJ25,0)</f>
        <v>0</v>
      </c>
      <c r="AB25" s="21">
        <f>IF(AQ25="1",BH25,0)</f>
        <v>0</v>
      </c>
      <c r="AC25" s="21">
        <f>IF(AQ25="1",BI25,0)</f>
        <v>0</v>
      </c>
      <c r="AD25" s="21">
        <f>IF(AQ25="7",BH25,0)</f>
        <v>0</v>
      </c>
      <c r="AE25" s="21">
        <f>IF(AQ25="7",BI25,0)</f>
        <v>0</v>
      </c>
      <c r="AF25" s="21">
        <f>IF(AQ25="2",BH25,0)</f>
        <v>0</v>
      </c>
      <c r="AG25" s="21">
        <f>IF(AQ25="2",BI25,0)</f>
        <v>0</v>
      </c>
      <c r="AH25" s="21">
        <f>IF(AQ25="0",BJ25,0)</f>
        <v>0</v>
      </c>
      <c r="AI25" s="8"/>
      <c r="AJ25" s="21">
        <f>IF(AN25=0,L25,0)</f>
        <v>0</v>
      </c>
      <c r="AK25" s="21">
        <f>IF(AN25=15,L25,0)</f>
        <v>0</v>
      </c>
      <c r="AL25" s="21">
        <f>IF(AN25=21,L25,0)</f>
        <v>0</v>
      </c>
      <c r="AN25" s="21">
        <v>21</v>
      </c>
      <c r="AO25" s="21">
        <f>I25*0.370743842364532</f>
        <v>0</v>
      </c>
      <c r="AP25" s="21">
        <f>I25*(1-0.370743842364532)</f>
        <v>0</v>
      </c>
      <c r="AQ25" s="23" t="s">
        <v>47</v>
      </c>
      <c r="AV25" s="21">
        <f>AW25+AX25</f>
        <v>0</v>
      </c>
      <c r="AW25" s="21">
        <f>H25*AO25</f>
        <v>0</v>
      </c>
      <c r="AX25" s="21">
        <f>H25*AP25</f>
        <v>0</v>
      </c>
      <c r="AY25" s="23" t="s">
        <v>89</v>
      </c>
      <c r="AZ25" s="23" t="s">
        <v>53</v>
      </c>
      <c r="BA25" s="8" t="s">
        <v>54</v>
      </c>
      <c r="BC25" s="21">
        <f>AW25+AX25</f>
        <v>0</v>
      </c>
      <c r="BD25" s="21">
        <f>I25/(100-BE25)*100</f>
        <v>0</v>
      </c>
      <c r="BE25" s="21">
        <v>0</v>
      </c>
      <c r="BF25" s="21">
        <f>25</f>
        <v>25</v>
      </c>
      <c r="BH25" s="21">
        <f>H25*AO25</f>
        <v>0</v>
      </c>
      <c r="BI25" s="21">
        <f>H25*AP25</f>
        <v>0</v>
      </c>
      <c r="BJ25" s="21">
        <f>H25*I25</f>
        <v>0</v>
      </c>
      <c r="BK25" s="21"/>
      <c r="BL25" s="21">
        <v>15</v>
      </c>
    </row>
    <row r="26" spans="1:13" ht="13.5" customHeight="1">
      <c r="A26" s="24"/>
      <c r="B26" s="25" t="s">
        <v>55</v>
      </c>
      <c r="C26" s="66" t="s">
        <v>90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</row>
    <row r="27" spans="1:64" ht="15" customHeight="1">
      <c r="A27" s="20" t="s">
        <v>91</v>
      </c>
      <c r="B27" s="3" t="s">
        <v>92</v>
      </c>
      <c r="C27" s="60" t="s">
        <v>93</v>
      </c>
      <c r="D27" s="60"/>
      <c r="E27" s="60"/>
      <c r="F27" s="60"/>
      <c r="G27" s="3" t="s">
        <v>88</v>
      </c>
      <c r="H27" s="21">
        <v>21.6</v>
      </c>
      <c r="I27" s="21">
        <v>0</v>
      </c>
      <c r="J27" s="21">
        <f>H27*AO27</f>
        <v>0</v>
      </c>
      <c r="K27" s="21">
        <f>H27*AP27</f>
        <v>0</v>
      </c>
      <c r="L27" s="21">
        <f>H27*I27</f>
        <v>0</v>
      </c>
      <c r="M27" s="22" t="s">
        <v>51</v>
      </c>
      <c r="Z27" s="21">
        <f>IF(AQ27="5",BJ27,0)</f>
        <v>0</v>
      </c>
      <c r="AB27" s="21">
        <f>IF(AQ27="1",BH27,0)</f>
        <v>0</v>
      </c>
      <c r="AC27" s="21">
        <f>IF(AQ27="1",BI27,0)</f>
        <v>0</v>
      </c>
      <c r="AD27" s="21">
        <f>IF(AQ27="7",BH27,0)</f>
        <v>0</v>
      </c>
      <c r="AE27" s="21">
        <f>IF(AQ27="7",BI27,0)</f>
        <v>0</v>
      </c>
      <c r="AF27" s="21">
        <f>IF(AQ27="2",BH27,0)</f>
        <v>0</v>
      </c>
      <c r="AG27" s="21">
        <f>IF(AQ27="2",BI27,0)</f>
        <v>0</v>
      </c>
      <c r="AH27" s="21">
        <f>IF(AQ27="0",BJ27,0)</f>
        <v>0</v>
      </c>
      <c r="AI27" s="8"/>
      <c r="AJ27" s="21">
        <f>IF(AN27=0,L27,0)</f>
        <v>0</v>
      </c>
      <c r="AK27" s="21">
        <f>IF(AN27=15,L27,0)</f>
        <v>0</v>
      </c>
      <c r="AL27" s="21">
        <f>IF(AN27=21,L27,0)</f>
        <v>0</v>
      </c>
      <c r="AN27" s="21">
        <v>21</v>
      </c>
      <c r="AO27" s="21">
        <f>I27*0.247049180327869</f>
        <v>0</v>
      </c>
      <c r="AP27" s="21">
        <f>I27*(1-0.247049180327869)</f>
        <v>0</v>
      </c>
      <c r="AQ27" s="23" t="s">
        <v>47</v>
      </c>
      <c r="AV27" s="21">
        <f>AW27+AX27</f>
        <v>0</v>
      </c>
      <c r="AW27" s="21">
        <f>H27*AO27</f>
        <v>0</v>
      </c>
      <c r="AX27" s="21">
        <f>H27*AP27</f>
        <v>0</v>
      </c>
      <c r="AY27" s="23" t="s">
        <v>89</v>
      </c>
      <c r="AZ27" s="23" t="s">
        <v>53</v>
      </c>
      <c r="BA27" s="8" t="s">
        <v>54</v>
      </c>
      <c r="BC27" s="21">
        <f>AW27+AX27</f>
        <v>0</v>
      </c>
      <c r="BD27" s="21">
        <f>I27/(100-BE27)*100</f>
        <v>0</v>
      </c>
      <c r="BE27" s="21">
        <v>0</v>
      </c>
      <c r="BF27" s="21">
        <f>27</f>
        <v>27</v>
      </c>
      <c r="BH27" s="21">
        <f>H27*AO27</f>
        <v>0</v>
      </c>
      <c r="BI27" s="21">
        <f>H27*AP27</f>
        <v>0</v>
      </c>
      <c r="BJ27" s="21">
        <f>H27*I27</f>
        <v>0</v>
      </c>
      <c r="BK27" s="21"/>
      <c r="BL27" s="21">
        <v>15</v>
      </c>
    </row>
    <row r="28" spans="1:13" ht="13.5" customHeight="1">
      <c r="A28" s="24"/>
      <c r="B28" s="25" t="s">
        <v>55</v>
      </c>
      <c r="C28" s="66" t="s">
        <v>94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64" ht="15" customHeight="1">
      <c r="A29" s="20" t="s">
        <v>95</v>
      </c>
      <c r="B29" s="3" t="s">
        <v>96</v>
      </c>
      <c r="C29" s="60" t="s">
        <v>97</v>
      </c>
      <c r="D29" s="60"/>
      <c r="E29" s="60"/>
      <c r="F29" s="60"/>
      <c r="G29" s="3" t="s">
        <v>88</v>
      </c>
      <c r="H29" s="21">
        <v>21.6</v>
      </c>
      <c r="I29" s="21">
        <v>0</v>
      </c>
      <c r="J29" s="21">
        <f>H29*AO29</f>
        <v>0</v>
      </c>
      <c r="K29" s="21">
        <f>H29*AP29</f>
        <v>0</v>
      </c>
      <c r="L29" s="21">
        <f>H29*I29</f>
        <v>0</v>
      </c>
      <c r="M29" s="22" t="s">
        <v>51</v>
      </c>
      <c r="Z29" s="21">
        <f>IF(AQ29="5",BJ29,0)</f>
        <v>0</v>
      </c>
      <c r="AB29" s="21">
        <f>IF(AQ29="1",BH29,0)</f>
        <v>0</v>
      </c>
      <c r="AC29" s="21">
        <f>IF(AQ29="1",BI29,0)</f>
        <v>0</v>
      </c>
      <c r="AD29" s="21">
        <f>IF(AQ29="7",BH29,0)</f>
        <v>0</v>
      </c>
      <c r="AE29" s="21">
        <f>IF(AQ29="7",BI29,0)</f>
        <v>0</v>
      </c>
      <c r="AF29" s="21">
        <f>IF(AQ29="2",BH29,0)</f>
        <v>0</v>
      </c>
      <c r="AG29" s="21">
        <f>IF(AQ29="2",BI29,0)</f>
        <v>0</v>
      </c>
      <c r="AH29" s="21">
        <f>IF(AQ29="0",BJ29,0)</f>
        <v>0</v>
      </c>
      <c r="AI29" s="8"/>
      <c r="AJ29" s="21">
        <f>IF(AN29=0,L29,0)</f>
        <v>0</v>
      </c>
      <c r="AK29" s="21">
        <f>IF(AN29=15,L29,0)</f>
        <v>0</v>
      </c>
      <c r="AL29" s="21">
        <f>IF(AN29=21,L29,0)</f>
        <v>0</v>
      </c>
      <c r="AN29" s="21">
        <v>21</v>
      </c>
      <c r="AO29" s="21">
        <f>I29*0</f>
        <v>0</v>
      </c>
      <c r="AP29" s="21">
        <f>I29*(1-0)</f>
        <v>0</v>
      </c>
      <c r="AQ29" s="23" t="s">
        <v>47</v>
      </c>
      <c r="AV29" s="21">
        <f>AW29+AX29</f>
        <v>0</v>
      </c>
      <c r="AW29" s="21">
        <f>H29*AO29</f>
        <v>0</v>
      </c>
      <c r="AX29" s="21">
        <f>H29*AP29</f>
        <v>0</v>
      </c>
      <c r="AY29" s="23" t="s">
        <v>89</v>
      </c>
      <c r="AZ29" s="23" t="s">
        <v>53</v>
      </c>
      <c r="BA29" s="8" t="s">
        <v>54</v>
      </c>
      <c r="BC29" s="21">
        <f>AW29+AX29</f>
        <v>0</v>
      </c>
      <c r="BD29" s="21">
        <f>I29/(100-BE29)*100</f>
        <v>0</v>
      </c>
      <c r="BE29" s="21">
        <v>0</v>
      </c>
      <c r="BF29" s="21">
        <f>29</f>
        <v>29</v>
      </c>
      <c r="BH29" s="21">
        <f>H29*AO29</f>
        <v>0</v>
      </c>
      <c r="BI29" s="21">
        <f>H29*AP29</f>
        <v>0</v>
      </c>
      <c r="BJ29" s="21">
        <f>H29*I29</f>
        <v>0</v>
      </c>
      <c r="BK29" s="21"/>
      <c r="BL29" s="21">
        <v>15</v>
      </c>
    </row>
    <row r="30" spans="1:47" ht="15" customHeight="1">
      <c r="A30" s="16"/>
      <c r="B30" s="17" t="s">
        <v>98</v>
      </c>
      <c r="C30" s="65" t="s">
        <v>99</v>
      </c>
      <c r="D30" s="65"/>
      <c r="E30" s="65"/>
      <c r="F30" s="65"/>
      <c r="G30" s="18" t="s">
        <v>4</v>
      </c>
      <c r="H30" s="18" t="s">
        <v>4</v>
      </c>
      <c r="I30" s="18" t="s">
        <v>4</v>
      </c>
      <c r="J30" s="2">
        <f>SUM(J31:J36)</f>
        <v>0</v>
      </c>
      <c r="K30" s="2">
        <f>SUM(K31:K36)</f>
        <v>0</v>
      </c>
      <c r="L30" s="2">
        <f>SUM(L31:L36)</f>
        <v>0</v>
      </c>
      <c r="M30" s="19"/>
      <c r="AI30" s="8"/>
      <c r="AS30" s="2">
        <f>SUM(AJ31:AJ36)</f>
        <v>0</v>
      </c>
      <c r="AT30" s="2">
        <f>SUM(AK31:AK36)</f>
        <v>0</v>
      </c>
      <c r="AU30" s="2">
        <f>SUM(AL31:AL36)</f>
        <v>0</v>
      </c>
    </row>
    <row r="31" spans="1:64" ht="15" customHeight="1">
      <c r="A31" s="20" t="s">
        <v>45</v>
      </c>
      <c r="B31" s="3" t="s">
        <v>100</v>
      </c>
      <c r="C31" s="60" t="s">
        <v>101</v>
      </c>
      <c r="D31" s="60"/>
      <c r="E31" s="60"/>
      <c r="F31" s="60"/>
      <c r="G31" s="3" t="s">
        <v>73</v>
      </c>
      <c r="H31" s="21">
        <v>57.6</v>
      </c>
      <c r="I31" s="21">
        <v>0</v>
      </c>
      <c r="J31" s="21">
        <f>H31*AO31</f>
        <v>0</v>
      </c>
      <c r="K31" s="21">
        <f>H31*AP31</f>
        <v>0</v>
      </c>
      <c r="L31" s="21">
        <f>H31*I31</f>
        <v>0</v>
      </c>
      <c r="M31" s="22" t="s">
        <v>51</v>
      </c>
      <c r="Z31" s="21">
        <f>IF(AQ31="5",BJ31,0)</f>
        <v>0</v>
      </c>
      <c r="AB31" s="21">
        <f>IF(AQ31="1",BH31,0)</f>
        <v>0</v>
      </c>
      <c r="AC31" s="21">
        <f>IF(AQ31="1",BI31,0)</f>
        <v>0</v>
      </c>
      <c r="AD31" s="21">
        <f>IF(AQ31="7",BH31,0)</f>
        <v>0</v>
      </c>
      <c r="AE31" s="21">
        <f>IF(AQ31="7",BI31,0)</f>
        <v>0</v>
      </c>
      <c r="AF31" s="21">
        <f>IF(AQ31="2",BH31,0)</f>
        <v>0</v>
      </c>
      <c r="AG31" s="21">
        <f>IF(AQ31="2",BI31,0)</f>
        <v>0</v>
      </c>
      <c r="AH31" s="21">
        <f>IF(AQ31="0",BJ31,0)</f>
        <v>0</v>
      </c>
      <c r="AI31" s="8"/>
      <c r="AJ31" s="21">
        <f>IF(AN31=0,L31,0)</f>
        <v>0</v>
      </c>
      <c r="AK31" s="21">
        <f>IF(AN31=15,L31,0)</f>
        <v>0</v>
      </c>
      <c r="AL31" s="21">
        <f>IF(AN31=21,L31,0)</f>
        <v>0</v>
      </c>
      <c r="AN31" s="21">
        <v>21</v>
      </c>
      <c r="AO31" s="21">
        <f>I31*0</f>
        <v>0</v>
      </c>
      <c r="AP31" s="21">
        <f>I31*(1-0)</f>
        <v>0</v>
      </c>
      <c r="AQ31" s="23" t="s">
        <v>47</v>
      </c>
      <c r="AV31" s="21">
        <f>AW31+AX31</f>
        <v>0</v>
      </c>
      <c r="AW31" s="21">
        <f>H31*AO31</f>
        <v>0</v>
      </c>
      <c r="AX31" s="21">
        <f>H31*AP31</f>
        <v>0</v>
      </c>
      <c r="AY31" s="23" t="s">
        <v>102</v>
      </c>
      <c r="AZ31" s="23" t="s">
        <v>53</v>
      </c>
      <c r="BA31" s="8" t="s">
        <v>54</v>
      </c>
      <c r="BC31" s="21">
        <f>AW31+AX31</f>
        <v>0</v>
      </c>
      <c r="BD31" s="21">
        <f>I31/(100-BE31)*100</f>
        <v>0</v>
      </c>
      <c r="BE31" s="21">
        <v>0</v>
      </c>
      <c r="BF31" s="21">
        <f>31</f>
        <v>31</v>
      </c>
      <c r="BH31" s="21">
        <f>H31*AO31</f>
        <v>0</v>
      </c>
      <c r="BI31" s="21">
        <f>H31*AP31</f>
        <v>0</v>
      </c>
      <c r="BJ31" s="21">
        <f>H31*I31</f>
        <v>0</v>
      </c>
      <c r="BK31" s="21"/>
      <c r="BL31" s="21">
        <v>16</v>
      </c>
    </row>
    <row r="32" spans="1:64" ht="15" customHeight="1">
      <c r="A32" s="20" t="s">
        <v>68</v>
      </c>
      <c r="B32" s="3" t="s">
        <v>103</v>
      </c>
      <c r="C32" s="60" t="s">
        <v>104</v>
      </c>
      <c r="D32" s="60"/>
      <c r="E32" s="60"/>
      <c r="F32" s="60"/>
      <c r="G32" s="3" t="s">
        <v>73</v>
      </c>
      <c r="H32" s="21">
        <v>11.5</v>
      </c>
      <c r="I32" s="21">
        <v>0</v>
      </c>
      <c r="J32" s="21">
        <f>H32*AO32</f>
        <v>0</v>
      </c>
      <c r="K32" s="21">
        <f>H32*AP32</f>
        <v>0</v>
      </c>
      <c r="L32" s="21">
        <f>H32*I32</f>
        <v>0</v>
      </c>
      <c r="M32" s="22" t="s">
        <v>51</v>
      </c>
      <c r="Z32" s="21">
        <f>IF(AQ32="5",BJ32,0)</f>
        <v>0</v>
      </c>
      <c r="AB32" s="21">
        <f>IF(AQ32="1",BH32,0)</f>
        <v>0</v>
      </c>
      <c r="AC32" s="21">
        <f>IF(AQ32="1",BI32,0)</f>
        <v>0</v>
      </c>
      <c r="AD32" s="21">
        <f>IF(AQ32="7",BH32,0)</f>
        <v>0</v>
      </c>
      <c r="AE32" s="21">
        <f>IF(AQ32="7",BI32,0)</f>
        <v>0</v>
      </c>
      <c r="AF32" s="21">
        <f>IF(AQ32="2",BH32,0)</f>
        <v>0</v>
      </c>
      <c r="AG32" s="21">
        <f>IF(AQ32="2",BI32,0)</f>
        <v>0</v>
      </c>
      <c r="AH32" s="21">
        <f>IF(AQ32="0",BJ32,0)</f>
        <v>0</v>
      </c>
      <c r="AI32" s="8"/>
      <c r="AJ32" s="21">
        <f>IF(AN32=0,L32,0)</f>
        <v>0</v>
      </c>
      <c r="AK32" s="21">
        <f>IF(AN32=15,L32,0)</f>
        <v>0</v>
      </c>
      <c r="AL32" s="21">
        <f>IF(AN32=21,L32,0)</f>
        <v>0</v>
      </c>
      <c r="AN32" s="21">
        <v>21</v>
      </c>
      <c r="AO32" s="21">
        <f>I32*0</f>
        <v>0</v>
      </c>
      <c r="AP32" s="21">
        <f>I32*(1-0)</f>
        <v>0</v>
      </c>
      <c r="AQ32" s="23" t="s">
        <v>47</v>
      </c>
      <c r="AV32" s="21">
        <f>AW32+AX32</f>
        <v>0</v>
      </c>
      <c r="AW32" s="21">
        <f>H32*AO32</f>
        <v>0</v>
      </c>
      <c r="AX32" s="21">
        <f>H32*AP32</f>
        <v>0</v>
      </c>
      <c r="AY32" s="23" t="s">
        <v>102</v>
      </c>
      <c r="AZ32" s="23" t="s">
        <v>53</v>
      </c>
      <c r="BA32" s="8" t="s">
        <v>54</v>
      </c>
      <c r="BC32" s="21">
        <f>AW32+AX32</f>
        <v>0</v>
      </c>
      <c r="BD32" s="21">
        <f>I32/(100-BE32)*100</f>
        <v>0</v>
      </c>
      <c r="BE32" s="21">
        <v>0</v>
      </c>
      <c r="BF32" s="21">
        <f>32</f>
        <v>32</v>
      </c>
      <c r="BH32" s="21">
        <f>H32*AO32</f>
        <v>0</v>
      </c>
      <c r="BI32" s="21">
        <f>H32*AP32</f>
        <v>0</v>
      </c>
      <c r="BJ32" s="21">
        <f>H32*I32</f>
        <v>0</v>
      </c>
      <c r="BK32" s="21"/>
      <c r="BL32" s="21">
        <v>16</v>
      </c>
    </row>
    <row r="33" spans="1:13" ht="13.5" customHeight="1">
      <c r="A33" s="24"/>
      <c r="B33" s="25" t="s">
        <v>55</v>
      </c>
      <c r="C33" s="66" t="s">
        <v>105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spans="1:64" ht="15" customHeight="1">
      <c r="A34" s="20" t="s">
        <v>106</v>
      </c>
      <c r="B34" s="3" t="s">
        <v>107</v>
      </c>
      <c r="C34" s="60" t="s">
        <v>108</v>
      </c>
      <c r="D34" s="60"/>
      <c r="E34" s="60"/>
      <c r="F34" s="60"/>
      <c r="G34" s="3" t="s">
        <v>73</v>
      </c>
      <c r="H34" s="21">
        <v>11.5</v>
      </c>
      <c r="I34" s="21">
        <v>0</v>
      </c>
      <c r="J34" s="21">
        <f>H34*AO34</f>
        <v>0</v>
      </c>
      <c r="K34" s="21">
        <f>H34*AP34</f>
        <v>0</v>
      </c>
      <c r="L34" s="21">
        <f>H34*I34</f>
        <v>0</v>
      </c>
      <c r="M34" s="22" t="s">
        <v>51</v>
      </c>
      <c r="Z34" s="21">
        <f>IF(AQ34="5",BJ34,0)</f>
        <v>0</v>
      </c>
      <c r="AB34" s="21">
        <f>IF(AQ34="1",BH34,0)</f>
        <v>0</v>
      </c>
      <c r="AC34" s="21">
        <f>IF(AQ34="1",BI34,0)</f>
        <v>0</v>
      </c>
      <c r="AD34" s="21">
        <f>IF(AQ34="7",BH34,0)</f>
        <v>0</v>
      </c>
      <c r="AE34" s="21">
        <f>IF(AQ34="7",BI34,0)</f>
        <v>0</v>
      </c>
      <c r="AF34" s="21">
        <f>IF(AQ34="2",BH34,0)</f>
        <v>0</v>
      </c>
      <c r="AG34" s="21">
        <f>IF(AQ34="2",BI34,0)</f>
        <v>0</v>
      </c>
      <c r="AH34" s="21">
        <f>IF(AQ34="0",BJ34,0)</f>
        <v>0</v>
      </c>
      <c r="AI34" s="8"/>
      <c r="AJ34" s="21">
        <f>IF(AN34=0,L34,0)</f>
        <v>0</v>
      </c>
      <c r="AK34" s="21">
        <f>IF(AN34=15,L34,0)</f>
        <v>0</v>
      </c>
      <c r="AL34" s="21">
        <f>IF(AN34=21,L34,0)</f>
        <v>0</v>
      </c>
      <c r="AN34" s="21">
        <v>21</v>
      </c>
      <c r="AO34" s="21">
        <f>I34*0</f>
        <v>0</v>
      </c>
      <c r="AP34" s="21">
        <f>I34*(1-0)</f>
        <v>0</v>
      </c>
      <c r="AQ34" s="23" t="s">
        <v>47</v>
      </c>
      <c r="AV34" s="21">
        <f>AW34+AX34</f>
        <v>0</v>
      </c>
      <c r="AW34" s="21">
        <f>H34*AO34</f>
        <v>0</v>
      </c>
      <c r="AX34" s="21">
        <f>H34*AP34</f>
        <v>0</v>
      </c>
      <c r="AY34" s="23" t="s">
        <v>102</v>
      </c>
      <c r="AZ34" s="23" t="s">
        <v>53</v>
      </c>
      <c r="BA34" s="8" t="s">
        <v>54</v>
      </c>
      <c r="BC34" s="21">
        <f>AW34+AX34</f>
        <v>0</v>
      </c>
      <c r="BD34" s="21">
        <f>I34/(100-BE34)*100</f>
        <v>0</v>
      </c>
      <c r="BE34" s="21">
        <v>0</v>
      </c>
      <c r="BF34" s="21">
        <f>34</f>
        <v>34</v>
      </c>
      <c r="BH34" s="21">
        <f>H34*AO34</f>
        <v>0</v>
      </c>
      <c r="BI34" s="21">
        <f>H34*AP34</f>
        <v>0</v>
      </c>
      <c r="BJ34" s="21">
        <f>H34*I34</f>
        <v>0</v>
      </c>
      <c r="BK34" s="21"/>
      <c r="BL34" s="21">
        <v>16</v>
      </c>
    </row>
    <row r="35" spans="1:64" ht="15" customHeight="1">
      <c r="A35" s="20" t="s">
        <v>109</v>
      </c>
      <c r="B35" s="26" t="s">
        <v>110</v>
      </c>
      <c r="C35" s="60" t="s">
        <v>111</v>
      </c>
      <c r="D35" s="60"/>
      <c r="E35" s="60"/>
      <c r="F35" s="60"/>
      <c r="G35" s="3" t="s">
        <v>73</v>
      </c>
      <c r="H35" s="21">
        <v>11.5</v>
      </c>
      <c r="I35" s="21">
        <v>0</v>
      </c>
      <c r="J35" s="21">
        <f>H35*AO35</f>
        <v>0</v>
      </c>
      <c r="K35" s="21">
        <f>H35*AP35</f>
        <v>0</v>
      </c>
      <c r="L35" s="21">
        <f>H35*I35</f>
        <v>0</v>
      </c>
      <c r="M35" s="22" t="s">
        <v>51</v>
      </c>
      <c r="Z35" s="21">
        <f>IF(AQ35="5",BJ35,0)</f>
        <v>0</v>
      </c>
      <c r="AB35" s="21">
        <f>IF(AQ35="1",BH35,0)</f>
        <v>0</v>
      </c>
      <c r="AC35" s="21">
        <f>IF(AQ35="1",BI35,0)</f>
        <v>0</v>
      </c>
      <c r="AD35" s="21">
        <f>IF(AQ35="7",BH35,0)</f>
        <v>0</v>
      </c>
      <c r="AE35" s="21">
        <f>IF(AQ35="7",BI35,0)</f>
        <v>0</v>
      </c>
      <c r="AF35" s="21">
        <f>IF(AQ35="2",BH35,0)</f>
        <v>0</v>
      </c>
      <c r="AG35" s="21">
        <f>IF(AQ35="2",BI35,0)</f>
        <v>0</v>
      </c>
      <c r="AH35" s="21">
        <f>IF(AQ35="0",BJ35,0)</f>
        <v>0</v>
      </c>
      <c r="AI35" s="8"/>
      <c r="AJ35" s="21">
        <f>IF(AN35=0,L35,0)</f>
        <v>0</v>
      </c>
      <c r="AK35" s="21">
        <f>IF(AN35=15,L35,0)</f>
        <v>0</v>
      </c>
      <c r="AL35" s="21">
        <f>IF(AN35=21,L35,0)</f>
        <v>0</v>
      </c>
      <c r="AN35" s="21">
        <v>21</v>
      </c>
      <c r="AO35" s="21">
        <f>I35*0</f>
        <v>0</v>
      </c>
      <c r="AP35" s="21">
        <f>I35*(1-0)</f>
        <v>0</v>
      </c>
      <c r="AQ35" s="23" t="s">
        <v>47</v>
      </c>
      <c r="AV35" s="21">
        <f>AW35+AX35</f>
        <v>0</v>
      </c>
      <c r="AW35" s="21">
        <f>H35*AO35</f>
        <v>0</v>
      </c>
      <c r="AX35" s="21">
        <f>H35*AP35</f>
        <v>0</v>
      </c>
      <c r="AY35" s="23" t="s">
        <v>102</v>
      </c>
      <c r="AZ35" s="23" t="s">
        <v>53</v>
      </c>
      <c r="BA35" s="8" t="s">
        <v>54</v>
      </c>
      <c r="BC35" s="21">
        <f>AW35+AX35</f>
        <v>0</v>
      </c>
      <c r="BD35" s="21">
        <f>I35/(100-BE35)*100</f>
        <v>0</v>
      </c>
      <c r="BE35" s="21">
        <v>0</v>
      </c>
      <c r="BF35" s="21">
        <f>35</f>
        <v>35</v>
      </c>
      <c r="BH35" s="21">
        <f>H35*AO35</f>
        <v>0</v>
      </c>
      <c r="BI35" s="21">
        <f>H35*AP35</f>
        <v>0</v>
      </c>
      <c r="BJ35" s="21">
        <f>H35*I35</f>
        <v>0</v>
      </c>
      <c r="BK35" s="21"/>
      <c r="BL35" s="21">
        <v>16</v>
      </c>
    </row>
    <row r="36" spans="1:64" ht="15" customHeight="1">
      <c r="A36" s="20" t="s">
        <v>83</v>
      </c>
      <c r="B36" s="3" t="s">
        <v>112</v>
      </c>
      <c r="C36" s="60" t="s">
        <v>113</v>
      </c>
      <c r="D36" s="60"/>
      <c r="E36" s="60"/>
      <c r="F36" s="60"/>
      <c r="G36" s="3" t="s">
        <v>73</v>
      </c>
      <c r="H36" s="21">
        <v>46.1</v>
      </c>
      <c r="I36" s="21">
        <v>0</v>
      </c>
      <c r="J36" s="21">
        <f>H36*AO36</f>
        <v>0</v>
      </c>
      <c r="K36" s="21">
        <f>H36*AP36</f>
        <v>0</v>
      </c>
      <c r="L36" s="21">
        <f>H36*I36</f>
        <v>0</v>
      </c>
      <c r="M36" s="22" t="s">
        <v>51</v>
      </c>
      <c r="Z36" s="21">
        <f>IF(AQ36="5",BJ36,0)</f>
        <v>0</v>
      </c>
      <c r="AB36" s="21">
        <f>IF(AQ36="1",BH36,0)</f>
        <v>0</v>
      </c>
      <c r="AC36" s="21">
        <f>IF(AQ36="1",BI36,0)</f>
        <v>0</v>
      </c>
      <c r="AD36" s="21">
        <f>IF(AQ36="7",BH36,0)</f>
        <v>0</v>
      </c>
      <c r="AE36" s="21">
        <f>IF(AQ36="7",BI36,0)</f>
        <v>0</v>
      </c>
      <c r="AF36" s="21">
        <f>IF(AQ36="2",BH36,0)</f>
        <v>0</v>
      </c>
      <c r="AG36" s="21">
        <f>IF(AQ36="2",BI36,0)</f>
        <v>0</v>
      </c>
      <c r="AH36" s="21">
        <f>IF(AQ36="0",BJ36,0)</f>
        <v>0</v>
      </c>
      <c r="AI36" s="8"/>
      <c r="AJ36" s="21">
        <f>IF(AN36=0,L36,0)</f>
        <v>0</v>
      </c>
      <c r="AK36" s="21">
        <f>IF(AN36=15,L36,0)</f>
        <v>0</v>
      </c>
      <c r="AL36" s="21">
        <f>IF(AN36=21,L36,0)</f>
        <v>0</v>
      </c>
      <c r="AN36" s="21">
        <v>21</v>
      </c>
      <c r="AO36" s="21">
        <f>I36*0</f>
        <v>0</v>
      </c>
      <c r="AP36" s="21">
        <f>I36*(1-0)</f>
        <v>0</v>
      </c>
      <c r="AQ36" s="23" t="s">
        <v>47</v>
      </c>
      <c r="AV36" s="21">
        <f>AW36+AX36</f>
        <v>0</v>
      </c>
      <c r="AW36" s="21">
        <f>H36*AO36</f>
        <v>0</v>
      </c>
      <c r="AX36" s="21">
        <f>H36*AP36</f>
        <v>0</v>
      </c>
      <c r="AY36" s="23" t="s">
        <v>102</v>
      </c>
      <c r="AZ36" s="23" t="s">
        <v>53</v>
      </c>
      <c r="BA36" s="8" t="s">
        <v>54</v>
      </c>
      <c r="BC36" s="21">
        <f>AW36+AX36</f>
        <v>0</v>
      </c>
      <c r="BD36" s="21">
        <f>I36/(100-BE36)*100</f>
        <v>0</v>
      </c>
      <c r="BE36" s="21">
        <v>0</v>
      </c>
      <c r="BF36" s="21">
        <f>36</f>
        <v>36</v>
      </c>
      <c r="BH36" s="21">
        <f>H36*AO36</f>
        <v>0</v>
      </c>
      <c r="BI36" s="21">
        <f>H36*AP36</f>
        <v>0</v>
      </c>
      <c r="BJ36" s="21">
        <f>H36*I36</f>
        <v>0</v>
      </c>
      <c r="BK36" s="21"/>
      <c r="BL36" s="21">
        <v>16</v>
      </c>
    </row>
    <row r="37" spans="1:13" ht="13.5" customHeight="1">
      <c r="A37" s="24"/>
      <c r="B37" s="25" t="s">
        <v>55</v>
      </c>
      <c r="C37" s="66" t="s">
        <v>114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</row>
    <row r="38" spans="1:47" ht="15" customHeight="1">
      <c r="A38" s="16"/>
      <c r="B38" s="17" t="s">
        <v>115</v>
      </c>
      <c r="C38" s="65" t="s">
        <v>116</v>
      </c>
      <c r="D38" s="65"/>
      <c r="E38" s="65"/>
      <c r="F38" s="65"/>
      <c r="G38" s="18" t="s">
        <v>4</v>
      </c>
      <c r="H38" s="18" t="s">
        <v>4</v>
      </c>
      <c r="I38" s="18" t="s">
        <v>4</v>
      </c>
      <c r="J38" s="2">
        <f>SUM(J39:J41)</f>
        <v>0</v>
      </c>
      <c r="K38" s="2">
        <f>SUM(K39:K41)</f>
        <v>0</v>
      </c>
      <c r="L38" s="2">
        <f>SUM(L39:L41)</f>
        <v>0</v>
      </c>
      <c r="M38" s="19"/>
      <c r="AI38" s="8"/>
      <c r="AS38" s="2">
        <f>SUM(AJ39:AJ41)</f>
        <v>0</v>
      </c>
      <c r="AT38" s="2">
        <f>SUM(AK39:AK41)</f>
        <v>0</v>
      </c>
      <c r="AU38" s="2">
        <f>SUM(AL39:AL41)</f>
        <v>0</v>
      </c>
    </row>
    <row r="39" spans="1:64" ht="15" customHeight="1">
      <c r="A39" s="20" t="s">
        <v>98</v>
      </c>
      <c r="B39" s="3" t="s">
        <v>117</v>
      </c>
      <c r="C39" s="60" t="s">
        <v>118</v>
      </c>
      <c r="D39" s="60"/>
      <c r="E39" s="60"/>
      <c r="F39" s="60"/>
      <c r="G39" s="3" t="s">
        <v>73</v>
      </c>
      <c r="H39" s="21">
        <v>11.5</v>
      </c>
      <c r="I39" s="21">
        <v>0</v>
      </c>
      <c r="J39" s="21">
        <f>H39*AO39</f>
        <v>0</v>
      </c>
      <c r="K39" s="21">
        <f>H39*AP39</f>
        <v>0</v>
      </c>
      <c r="L39" s="21">
        <f>H39*I39</f>
        <v>0</v>
      </c>
      <c r="M39" s="22" t="s">
        <v>51</v>
      </c>
      <c r="Z39" s="21">
        <f>IF(AQ39="5",BJ39,0)</f>
        <v>0</v>
      </c>
      <c r="AB39" s="21">
        <f>IF(AQ39="1",BH39,0)</f>
        <v>0</v>
      </c>
      <c r="AC39" s="21">
        <f>IF(AQ39="1",BI39,0)</f>
        <v>0</v>
      </c>
      <c r="AD39" s="21">
        <f>IF(AQ39="7",BH39,0)</f>
        <v>0</v>
      </c>
      <c r="AE39" s="21">
        <f>IF(AQ39="7",BI39,0)</f>
        <v>0</v>
      </c>
      <c r="AF39" s="21">
        <f>IF(AQ39="2",BH39,0)</f>
        <v>0</v>
      </c>
      <c r="AG39" s="21">
        <f>IF(AQ39="2",BI39,0)</f>
        <v>0</v>
      </c>
      <c r="AH39" s="21">
        <f>IF(AQ39="0",BJ39,0)</f>
        <v>0</v>
      </c>
      <c r="AI39" s="8"/>
      <c r="AJ39" s="21">
        <f>IF(AN39=0,L39,0)</f>
        <v>0</v>
      </c>
      <c r="AK39" s="21">
        <f>IF(AN39=15,L39,0)</f>
        <v>0</v>
      </c>
      <c r="AL39" s="21">
        <f>IF(AN39=21,L39,0)</f>
        <v>0</v>
      </c>
      <c r="AN39" s="21">
        <v>21</v>
      </c>
      <c r="AO39" s="21">
        <f>I39*0</f>
        <v>0</v>
      </c>
      <c r="AP39" s="21">
        <f>I39*(1-0)</f>
        <v>0</v>
      </c>
      <c r="AQ39" s="23" t="s">
        <v>47</v>
      </c>
      <c r="AV39" s="21">
        <f>AW39+AX39</f>
        <v>0</v>
      </c>
      <c r="AW39" s="21">
        <f>H39*AO39</f>
        <v>0</v>
      </c>
      <c r="AX39" s="21">
        <f>H39*AP39</f>
        <v>0</v>
      </c>
      <c r="AY39" s="23" t="s">
        <v>119</v>
      </c>
      <c r="AZ39" s="23" t="s">
        <v>53</v>
      </c>
      <c r="BA39" s="8" t="s">
        <v>54</v>
      </c>
      <c r="BC39" s="21">
        <f>AW39+AX39</f>
        <v>0</v>
      </c>
      <c r="BD39" s="21">
        <f>I39/(100-BE39)*100</f>
        <v>0</v>
      </c>
      <c r="BE39" s="21">
        <v>0</v>
      </c>
      <c r="BF39" s="21">
        <f>39</f>
        <v>39</v>
      </c>
      <c r="BH39" s="21">
        <f>H39*AO39</f>
        <v>0</v>
      </c>
      <c r="BI39" s="21">
        <f>H39*AP39</f>
        <v>0</v>
      </c>
      <c r="BJ39" s="21">
        <f>H39*I39</f>
        <v>0</v>
      </c>
      <c r="BK39" s="21"/>
      <c r="BL39" s="21">
        <v>17</v>
      </c>
    </row>
    <row r="40" spans="1:64" ht="15" customHeight="1">
      <c r="A40" s="20" t="s">
        <v>115</v>
      </c>
      <c r="B40" s="3" t="s">
        <v>120</v>
      </c>
      <c r="C40" s="60" t="s">
        <v>121</v>
      </c>
      <c r="D40" s="60"/>
      <c r="E40" s="60"/>
      <c r="F40" s="60"/>
      <c r="G40" s="3" t="s">
        <v>73</v>
      </c>
      <c r="H40" s="21">
        <v>46.1</v>
      </c>
      <c r="I40" s="21">
        <v>0</v>
      </c>
      <c r="J40" s="21">
        <f>H40*AO40</f>
        <v>0</v>
      </c>
      <c r="K40" s="21">
        <f>H40*AP40</f>
        <v>0</v>
      </c>
      <c r="L40" s="21">
        <f>H40*I40</f>
        <v>0</v>
      </c>
      <c r="M40" s="22" t="s">
        <v>51</v>
      </c>
      <c r="Z40" s="21">
        <f>IF(AQ40="5",BJ40,0)</f>
        <v>0</v>
      </c>
      <c r="AB40" s="21">
        <f>IF(AQ40="1",BH40,0)</f>
        <v>0</v>
      </c>
      <c r="AC40" s="21">
        <f>IF(AQ40="1",BI40,0)</f>
        <v>0</v>
      </c>
      <c r="AD40" s="21">
        <f>IF(AQ40="7",BH40,0)</f>
        <v>0</v>
      </c>
      <c r="AE40" s="21">
        <f>IF(AQ40="7",BI40,0)</f>
        <v>0</v>
      </c>
      <c r="AF40" s="21">
        <f>IF(AQ40="2",BH40,0)</f>
        <v>0</v>
      </c>
      <c r="AG40" s="21">
        <f>IF(AQ40="2",BI40,0)</f>
        <v>0</v>
      </c>
      <c r="AH40" s="21">
        <f>IF(AQ40="0",BJ40,0)</f>
        <v>0</v>
      </c>
      <c r="AI40" s="8"/>
      <c r="AJ40" s="21">
        <f>IF(AN40=0,L40,0)</f>
        <v>0</v>
      </c>
      <c r="AK40" s="21">
        <f>IF(AN40=15,L40,0)</f>
        <v>0</v>
      </c>
      <c r="AL40" s="21">
        <f>IF(AN40=21,L40,0)</f>
        <v>0</v>
      </c>
      <c r="AN40" s="21">
        <v>21</v>
      </c>
      <c r="AO40" s="21">
        <f>I40*0</f>
        <v>0</v>
      </c>
      <c r="AP40" s="21">
        <f>I40*(1-0)</f>
        <v>0</v>
      </c>
      <c r="AQ40" s="23" t="s">
        <v>47</v>
      </c>
      <c r="AV40" s="21">
        <f>AW40+AX40</f>
        <v>0</v>
      </c>
      <c r="AW40" s="21">
        <f>H40*AO40</f>
        <v>0</v>
      </c>
      <c r="AX40" s="21">
        <f>H40*AP40</f>
        <v>0</v>
      </c>
      <c r="AY40" s="23" t="s">
        <v>119</v>
      </c>
      <c r="AZ40" s="23" t="s">
        <v>53</v>
      </c>
      <c r="BA40" s="8" t="s">
        <v>54</v>
      </c>
      <c r="BC40" s="21">
        <f>AW40+AX40</f>
        <v>0</v>
      </c>
      <c r="BD40" s="21">
        <f>I40/(100-BE40)*100</f>
        <v>0</v>
      </c>
      <c r="BE40" s="21">
        <v>0</v>
      </c>
      <c r="BF40" s="21">
        <f>40</f>
        <v>40</v>
      </c>
      <c r="BH40" s="21">
        <f>H40*AO40</f>
        <v>0</v>
      </c>
      <c r="BI40" s="21">
        <f>H40*AP40</f>
        <v>0</v>
      </c>
      <c r="BJ40" s="21">
        <f>H40*I40</f>
        <v>0</v>
      </c>
      <c r="BK40" s="21"/>
      <c r="BL40" s="21">
        <v>17</v>
      </c>
    </row>
    <row r="41" spans="1:64" ht="15" customHeight="1">
      <c r="A41" s="20" t="s">
        <v>122</v>
      </c>
      <c r="B41" s="3" t="s">
        <v>123</v>
      </c>
      <c r="C41" s="60" t="s">
        <v>124</v>
      </c>
      <c r="D41" s="60"/>
      <c r="E41" s="60"/>
      <c r="F41" s="60"/>
      <c r="G41" s="3" t="s">
        <v>73</v>
      </c>
      <c r="H41" s="21">
        <v>11.5</v>
      </c>
      <c r="I41" s="21">
        <v>0</v>
      </c>
      <c r="J41" s="21">
        <f>H41*AO41</f>
        <v>0</v>
      </c>
      <c r="K41" s="21">
        <f>H41*AP41</f>
        <v>0</v>
      </c>
      <c r="L41" s="21">
        <f>H41*I41</f>
        <v>0</v>
      </c>
      <c r="M41" s="22" t="s">
        <v>51</v>
      </c>
      <c r="Z41" s="21">
        <f>IF(AQ41="5",BJ41,0)</f>
        <v>0</v>
      </c>
      <c r="AB41" s="21">
        <f>IF(AQ41="1",BH41,0)</f>
        <v>0</v>
      </c>
      <c r="AC41" s="21">
        <f>IF(AQ41="1",BI41,0)</f>
        <v>0</v>
      </c>
      <c r="AD41" s="21">
        <f>IF(AQ41="7",BH41,0)</f>
        <v>0</v>
      </c>
      <c r="AE41" s="21">
        <f>IF(AQ41="7",BI41,0)</f>
        <v>0</v>
      </c>
      <c r="AF41" s="21">
        <f>IF(AQ41="2",BH41,0)</f>
        <v>0</v>
      </c>
      <c r="AG41" s="21">
        <f>IF(AQ41="2",BI41,0)</f>
        <v>0</v>
      </c>
      <c r="AH41" s="21">
        <f>IF(AQ41="0",BJ41,0)</f>
        <v>0</v>
      </c>
      <c r="AI41" s="8"/>
      <c r="AJ41" s="21">
        <f>IF(AN41=0,L41,0)</f>
        <v>0</v>
      </c>
      <c r="AK41" s="21">
        <f>IF(AN41=15,L41,0)</f>
        <v>0</v>
      </c>
      <c r="AL41" s="21">
        <f>IF(AN41=21,L41,0)</f>
        <v>0</v>
      </c>
      <c r="AN41" s="21">
        <v>21</v>
      </c>
      <c r="AO41" s="21">
        <f>I41*0.509285411665019</f>
        <v>0</v>
      </c>
      <c r="AP41" s="21">
        <f>I41*(1-0.509285411665019)</f>
        <v>0</v>
      </c>
      <c r="AQ41" s="23" t="s">
        <v>47</v>
      </c>
      <c r="AV41" s="21">
        <f>AW41+AX41</f>
        <v>0</v>
      </c>
      <c r="AW41" s="21">
        <f>H41*AO41</f>
        <v>0</v>
      </c>
      <c r="AX41" s="21">
        <f>H41*AP41</f>
        <v>0</v>
      </c>
      <c r="AY41" s="23" t="s">
        <v>119</v>
      </c>
      <c r="AZ41" s="23" t="s">
        <v>53</v>
      </c>
      <c r="BA41" s="8" t="s">
        <v>54</v>
      </c>
      <c r="BC41" s="21">
        <f>AW41+AX41</f>
        <v>0</v>
      </c>
      <c r="BD41" s="21">
        <f>I41/(100-BE41)*100</f>
        <v>0</v>
      </c>
      <c r="BE41" s="21">
        <v>0</v>
      </c>
      <c r="BF41" s="21">
        <f>41</f>
        <v>41</v>
      </c>
      <c r="BH41" s="21">
        <f>H41*AO41</f>
        <v>0</v>
      </c>
      <c r="BI41" s="21">
        <f>H41*AP41</f>
        <v>0</v>
      </c>
      <c r="BJ41" s="21">
        <f>H41*I41</f>
        <v>0</v>
      </c>
      <c r="BK41" s="21"/>
      <c r="BL41" s="21">
        <v>17</v>
      </c>
    </row>
    <row r="42" spans="1:47" ht="15" customHeight="1">
      <c r="A42" s="16"/>
      <c r="B42" s="17" t="s">
        <v>122</v>
      </c>
      <c r="C42" s="65" t="s">
        <v>125</v>
      </c>
      <c r="D42" s="65"/>
      <c r="E42" s="65"/>
      <c r="F42" s="65"/>
      <c r="G42" s="18" t="s">
        <v>4</v>
      </c>
      <c r="H42" s="18" t="s">
        <v>4</v>
      </c>
      <c r="I42" s="18" t="s">
        <v>4</v>
      </c>
      <c r="J42" s="2">
        <f>SUM(J43:J43)</f>
        <v>0</v>
      </c>
      <c r="K42" s="2">
        <f>SUM(K43:K43)</f>
        <v>0</v>
      </c>
      <c r="L42" s="2">
        <f>SUM(L43:L43)</f>
        <v>0</v>
      </c>
      <c r="M42" s="19"/>
      <c r="AI42" s="8"/>
      <c r="AS42" s="2">
        <f>SUM(AJ43:AJ43)</f>
        <v>0</v>
      </c>
      <c r="AT42" s="2">
        <f>SUM(AK43:AK43)</f>
        <v>0</v>
      </c>
      <c r="AU42" s="2">
        <f>SUM(AL43:AL43)</f>
        <v>0</v>
      </c>
    </row>
    <row r="43" spans="1:64" ht="15" customHeight="1">
      <c r="A43" s="20" t="s">
        <v>126</v>
      </c>
      <c r="B43" s="3" t="s">
        <v>127</v>
      </c>
      <c r="C43" s="60" t="s">
        <v>128</v>
      </c>
      <c r="D43" s="60"/>
      <c r="E43" s="60"/>
      <c r="F43" s="60"/>
      <c r="G43" s="3" t="s">
        <v>88</v>
      </c>
      <c r="H43" s="21">
        <v>18</v>
      </c>
      <c r="I43" s="21">
        <v>0</v>
      </c>
      <c r="J43" s="21">
        <f>H43*AO43</f>
        <v>0</v>
      </c>
      <c r="K43" s="21">
        <f>H43*AP43</f>
        <v>0</v>
      </c>
      <c r="L43" s="21">
        <f>H43*I43</f>
        <v>0</v>
      </c>
      <c r="M43" s="22" t="s">
        <v>51</v>
      </c>
      <c r="Z43" s="21">
        <f>IF(AQ43="5",BJ43,0)</f>
        <v>0</v>
      </c>
      <c r="AB43" s="21">
        <f>IF(AQ43="1",BH43,0)</f>
        <v>0</v>
      </c>
      <c r="AC43" s="21">
        <f>IF(AQ43="1",BI43,0)</f>
        <v>0</v>
      </c>
      <c r="AD43" s="21">
        <f>IF(AQ43="7",BH43,0)</f>
        <v>0</v>
      </c>
      <c r="AE43" s="21">
        <f>IF(AQ43="7",BI43,0)</f>
        <v>0</v>
      </c>
      <c r="AF43" s="21">
        <f>IF(AQ43="2",BH43,0)</f>
        <v>0</v>
      </c>
      <c r="AG43" s="21">
        <f>IF(AQ43="2",BI43,0)</f>
        <v>0</v>
      </c>
      <c r="AH43" s="21">
        <f>IF(AQ43="0",BJ43,0)</f>
        <v>0</v>
      </c>
      <c r="AI43" s="8"/>
      <c r="AJ43" s="21">
        <f>IF(AN43=0,L43,0)</f>
        <v>0</v>
      </c>
      <c r="AK43" s="21">
        <f>IF(AN43=15,L43,0)</f>
        <v>0</v>
      </c>
      <c r="AL43" s="21">
        <f>IF(AN43=21,L43,0)</f>
        <v>0</v>
      </c>
      <c r="AN43" s="21">
        <v>21</v>
      </c>
      <c r="AO43" s="21">
        <f>I43*0.0400022664173608</f>
        <v>0</v>
      </c>
      <c r="AP43" s="21">
        <f>I43*(1-0.0400022664173608)</f>
        <v>0</v>
      </c>
      <c r="AQ43" s="23" t="s">
        <v>47</v>
      </c>
      <c r="AV43" s="21">
        <f>AW43+AX43</f>
        <v>0</v>
      </c>
      <c r="AW43" s="21">
        <f>H43*AO43</f>
        <v>0</v>
      </c>
      <c r="AX43" s="21">
        <f>H43*AP43</f>
        <v>0</v>
      </c>
      <c r="AY43" s="23" t="s">
        <v>129</v>
      </c>
      <c r="AZ43" s="23" t="s">
        <v>53</v>
      </c>
      <c r="BA43" s="8" t="s">
        <v>54</v>
      </c>
      <c r="BC43" s="21">
        <f>AW43+AX43</f>
        <v>0</v>
      </c>
      <c r="BD43" s="21">
        <f>I43/(100-BE43)*100</f>
        <v>0</v>
      </c>
      <c r="BE43" s="21">
        <v>0</v>
      </c>
      <c r="BF43" s="21">
        <f>43</f>
        <v>43</v>
      </c>
      <c r="BH43" s="21">
        <f>H43*AO43</f>
        <v>0</v>
      </c>
      <c r="BI43" s="21">
        <f>H43*AP43</f>
        <v>0</v>
      </c>
      <c r="BJ43" s="21">
        <f>H43*I43</f>
        <v>0</v>
      </c>
      <c r="BK43" s="21"/>
      <c r="BL43" s="21">
        <v>18</v>
      </c>
    </row>
    <row r="44" spans="1:47" ht="15" customHeight="1">
      <c r="A44" s="16"/>
      <c r="B44" s="17" t="s">
        <v>126</v>
      </c>
      <c r="C44" s="65" t="s">
        <v>130</v>
      </c>
      <c r="D44" s="65"/>
      <c r="E44" s="65"/>
      <c r="F44" s="65"/>
      <c r="G44" s="18" t="s">
        <v>4</v>
      </c>
      <c r="H44" s="18" t="s">
        <v>4</v>
      </c>
      <c r="I44" s="18" t="s">
        <v>4</v>
      </c>
      <c r="J44" s="2">
        <f>SUM(J45:J45)</f>
        <v>0</v>
      </c>
      <c r="K44" s="2">
        <f>SUM(K45:K45)</f>
        <v>0</v>
      </c>
      <c r="L44" s="2">
        <f>SUM(L45:L45)</f>
        <v>0</v>
      </c>
      <c r="M44" s="19"/>
      <c r="AI44" s="8"/>
      <c r="AS44" s="2">
        <f>SUM(AJ45:AJ45)</f>
        <v>0</v>
      </c>
      <c r="AT44" s="2">
        <f>SUM(AK45:AK45)</f>
        <v>0</v>
      </c>
      <c r="AU44" s="2">
        <f>SUM(AL45:AL45)</f>
        <v>0</v>
      </c>
    </row>
    <row r="45" spans="1:64" ht="15" customHeight="1">
      <c r="A45" s="20" t="s">
        <v>131</v>
      </c>
      <c r="B45" s="3" t="s">
        <v>132</v>
      </c>
      <c r="C45" s="60" t="s">
        <v>133</v>
      </c>
      <c r="D45" s="60"/>
      <c r="E45" s="60"/>
      <c r="F45" s="60"/>
      <c r="G45" s="3" t="s">
        <v>134</v>
      </c>
      <c r="H45" s="21">
        <v>11.5</v>
      </c>
      <c r="I45" s="21">
        <v>0</v>
      </c>
      <c r="J45" s="21">
        <f>H45*AO45</f>
        <v>0</v>
      </c>
      <c r="K45" s="21">
        <f>H45*AP45</f>
        <v>0</v>
      </c>
      <c r="L45" s="21">
        <f>H45*I45</f>
        <v>0</v>
      </c>
      <c r="M45" s="22" t="s">
        <v>51</v>
      </c>
      <c r="Z45" s="21">
        <f>IF(AQ45="5",BJ45,0)</f>
        <v>0</v>
      </c>
      <c r="AB45" s="21">
        <f>IF(AQ45="1",BH45,0)</f>
        <v>0</v>
      </c>
      <c r="AC45" s="21">
        <f>IF(AQ45="1",BI45,0)</f>
        <v>0</v>
      </c>
      <c r="AD45" s="21">
        <f>IF(AQ45="7",BH45,0)</f>
        <v>0</v>
      </c>
      <c r="AE45" s="21">
        <f>IF(AQ45="7",BI45,0)</f>
        <v>0</v>
      </c>
      <c r="AF45" s="21">
        <f>IF(AQ45="2",BH45,0)</f>
        <v>0</v>
      </c>
      <c r="AG45" s="21">
        <f>IF(AQ45="2",BI45,0)</f>
        <v>0</v>
      </c>
      <c r="AH45" s="21">
        <f>IF(AQ45="0",BJ45,0)</f>
        <v>0</v>
      </c>
      <c r="AI45" s="8"/>
      <c r="AJ45" s="21">
        <f>IF(AN45=0,L45,0)</f>
        <v>0</v>
      </c>
      <c r="AK45" s="21">
        <f>IF(AN45=15,L45,0)</f>
        <v>0</v>
      </c>
      <c r="AL45" s="21">
        <f>IF(AN45=21,L45,0)</f>
        <v>0</v>
      </c>
      <c r="AN45" s="21">
        <v>21</v>
      </c>
      <c r="AO45" s="21">
        <f>I45*0</f>
        <v>0</v>
      </c>
      <c r="AP45" s="21">
        <f>I45*(1-0)</f>
        <v>0</v>
      </c>
      <c r="AQ45" s="23" t="s">
        <v>47</v>
      </c>
      <c r="AV45" s="21">
        <f>AW45+AX45</f>
        <v>0</v>
      </c>
      <c r="AW45" s="21">
        <f>H45*AO45</f>
        <v>0</v>
      </c>
      <c r="AX45" s="21">
        <f>H45*AP45</f>
        <v>0</v>
      </c>
      <c r="AY45" s="23" t="s">
        <v>135</v>
      </c>
      <c r="AZ45" s="23" t="s">
        <v>53</v>
      </c>
      <c r="BA45" s="8" t="s">
        <v>54</v>
      </c>
      <c r="BC45" s="21">
        <f>AW45+AX45</f>
        <v>0</v>
      </c>
      <c r="BD45" s="21">
        <f>I45/(100-BE45)*100</f>
        <v>0</v>
      </c>
      <c r="BE45" s="21">
        <v>0</v>
      </c>
      <c r="BF45" s="21">
        <f>45</f>
        <v>45</v>
      </c>
      <c r="BH45" s="21">
        <f>H45*AO45</f>
        <v>0</v>
      </c>
      <c r="BI45" s="21">
        <f>H45*AP45</f>
        <v>0</v>
      </c>
      <c r="BJ45" s="21">
        <f>H45*I45</f>
        <v>0</v>
      </c>
      <c r="BK45" s="21"/>
      <c r="BL45" s="21">
        <v>19</v>
      </c>
    </row>
    <row r="46" spans="1:47" ht="15" customHeight="1">
      <c r="A46" s="16"/>
      <c r="B46" s="17" t="s">
        <v>136</v>
      </c>
      <c r="C46" s="65" t="s">
        <v>137</v>
      </c>
      <c r="D46" s="65"/>
      <c r="E46" s="65"/>
      <c r="F46" s="65"/>
      <c r="G46" s="18" t="s">
        <v>4</v>
      </c>
      <c r="H46" s="18" t="s">
        <v>4</v>
      </c>
      <c r="I46" s="18" t="s">
        <v>4</v>
      </c>
      <c r="J46" s="2">
        <f>SUM(J47:J50)</f>
        <v>0</v>
      </c>
      <c r="K46" s="2">
        <f>SUM(K47:K50)</f>
        <v>0</v>
      </c>
      <c r="L46" s="2">
        <f>SUM(L47:L50)</f>
        <v>0</v>
      </c>
      <c r="M46" s="19"/>
      <c r="AI46" s="8"/>
      <c r="AS46" s="2">
        <f>SUM(AJ47:AJ50)</f>
        <v>0</v>
      </c>
      <c r="AT46" s="2">
        <f>SUM(AK47:AK50)</f>
        <v>0</v>
      </c>
      <c r="AU46" s="2">
        <f>SUM(AL47:AL50)</f>
        <v>0</v>
      </c>
    </row>
    <row r="47" spans="1:64" ht="15" customHeight="1">
      <c r="A47" s="20" t="s">
        <v>136</v>
      </c>
      <c r="B47" s="3" t="s">
        <v>138</v>
      </c>
      <c r="C47" s="60" t="s">
        <v>139</v>
      </c>
      <c r="D47" s="60"/>
      <c r="E47" s="60"/>
      <c r="F47" s="60"/>
      <c r="G47" s="3" t="s">
        <v>88</v>
      </c>
      <c r="H47" s="21">
        <v>27.9</v>
      </c>
      <c r="I47" s="21">
        <v>0</v>
      </c>
      <c r="J47" s="21">
        <f>H47*AO47</f>
        <v>0</v>
      </c>
      <c r="K47" s="21">
        <f>H47*AP47</f>
        <v>0</v>
      </c>
      <c r="L47" s="21">
        <f>H47*I47</f>
        <v>0</v>
      </c>
      <c r="M47" s="22" t="s">
        <v>51</v>
      </c>
      <c r="Z47" s="21">
        <f>IF(AQ47="5",BJ47,0)</f>
        <v>0</v>
      </c>
      <c r="AB47" s="21">
        <f>IF(AQ47="1",BH47,0)</f>
        <v>0</v>
      </c>
      <c r="AC47" s="21">
        <f>IF(AQ47="1",BI47,0)</f>
        <v>0</v>
      </c>
      <c r="AD47" s="21">
        <f>IF(AQ47="7",BH47,0)</f>
        <v>0</v>
      </c>
      <c r="AE47" s="21">
        <f>IF(AQ47="7",BI47,0)</f>
        <v>0</v>
      </c>
      <c r="AF47" s="21">
        <f>IF(AQ47="2",BH47,0)</f>
        <v>0</v>
      </c>
      <c r="AG47" s="21">
        <f>IF(AQ47="2",BI47,0)</f>
        <v>0</v>
      </c>
      <c r="AH47" s="21">
        <f>IF(AQ47="0",BJ47,0)</f>
        <v>0</v>
      </c>
      <c r="AI47" s="8"/>
      <c r="AJ47" s="21">
        <f>IF(AN47=0,L47,0)</f>
        <v>0</v>
      </c>
      <c r="AK47" s="21">
        <f>IF(AN47=15,L47,0)</f>
        <v>0</v>
      </c>
      <c r="AL47" s="21">
        <f>IF(AN47=21,L47,0)</f>
        <v>0</v>
      </c>
      <c r="AN47" s="21">
        <v>21</v>
      </c>
      <c r="AO47" s="21">
        <f>I47*0</f>
        <v>0</v>
      </c>
      <c r="AP47" s="21">
        <f>I47*(1-0)</f>
        <v>0</v>
      </c>
      <c r="AQ47" s="23" t="s">
        <v>47</v>
      </c>
      <c r="AV47" s="21">
        <f>AW47+AX47</f>
        <v>0</v>
      </c>
      <c r="AW47" s="21">
        <f>H47*AO47</f>
        <v>0</v>
      </c>
      <c r="AX47" s="21">
        <f>H47*AP47</f>
        <v>0</v>
      </c>
      <c r="AY47" s="23" t="s">
        <v>140</v>
      </c>
      <c r="AZ47" s="23" t="s">
        <v>141</v>
      </c>
      <c r="BA47" s="8" t="s">
        <v>54</v>
      </c>
      <c r="BC47" s="21">
        <f>AW47+AX47</f>
        <v>0</v>
      </c>
      <c r="BD47" s="21">
        <f>I47/(100-BE47)*100</f>
        <v>0</v>
      </c>
      <c r="BE47" s="21">
        <v>0</v>
      </c>
      <c r="BF47" s="21">
        <f>47</f>
        <v>47</v>
      </c>
      <c r="BH47" s="21">
        <f>H47*AO47</f>
        <v>0</v>
      </c>
      <c r="BI47" s="21">
        <f>H47*AP47</f>
        <v>0</v>
      </c>
      <c r="BJ47" s="21">
        <f>H47*I47</f>
        <v>0</v>
      </c>
      <c r="BK47" s="21"/>
      <c r="BL47" s="21">
        <v>21</v>
      </c>
    </row>
    <row r="48" spans="1:13" ht="13.5" customHeight="1">
      <c r="A48" s="24"/>
      <c r="B48" s="25" t="s">
        <v>55</v>
      </c>
      <c r="C48" s="66" t="s">
        <v>142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</row>
    <row r="49" spans="1:64" ht="15" customHeight="1">
      <c r="A49" s="20" t="s">
        <v>143</v>
      </c>
      <c r="B49" s="3" t="s">
        <v>144</v>
      </c>
      <c r="C49" s="60" t="s">
        <v>145</v>
      </c>
      <c r="D49" s="60"/>
      <c r="E49" s="60"/>
      <c r="F49" s="60"/>
      <c r="G49" s="3" t="s">
        <v>64</v>
      </c>
      <c r="H49" s="21">
        <v>22</v>
      </c>
      <c r="I49" s="21">
        <v>0</v>
      </c>
      <c r="J49" s="21">
        <f>H49*AO49</f>
        <v>0</v>
      </c>
      <c r="K49" s="21">
        <f>H49*AP49</f>
        <v>0</v>
      </c>
      <c r="L49" s="21">
        <f>H49*I49</f>
        <v>0</v>
      </c>
      <c r="M49" s="22" t="s">
        <v>51</v>
      </c>
      <c r="Z49" s="21">
        <f>IF(AQ49="5",BJ49,0)</f>
        <v>0</v>
      </c>
      <c r="AB49" s="21">
        <f>IF(AQ49="1",BH49,0)</f>
        <v>0</v>
      </c>
      <c r="AC49" s="21">
        <f>IF(AQ49="1",BI49,0)</f>
        <v>0</v>
      </c>
      <c r="AD49" s="21">
        <f>IF(AQ49="7",BH49,0)</f>
        <v>0</v>
      </c>
      <c r="AE49" s="21">
        <f>IF(AQ49="7",BI49,0)</f>
        <v>0</v>
      </c>
      <c r="AF49" s="21">
        <f>IF(AQ49="2",BH49,0)</f>
        <v>0</v>
      </c>
      <c r="AG49" s="21">
        <f>IF(AQ49="2",BI49,0)</f>
        <v>0</v>
      </c>
      <c r="AH49" s="21">
        <f>IF(AQ49="0",BJ49,0)</f>
        <v>0</v>
      </c>
      <c r="AI49" s="8"/>
      <c r="AJ49" s="21">
        <f>IF(AN49=0,L49,0)</f>
        <v>0</v>
      </c>
      <c r="AK49" s="21">
        <f>IF(AN49=15,L49,0)</f>
        <v>0</v>
      </c>
      <c r="AL49" s="21">
        <f>IF(AN49=21,L49,0)</f>
        <v>0</v>
      </c>
      <c r="AN49" s="21">
        <v>21</v>
      </c>
      <c r="AO49" s="21">
        <f>I49*0.557068965517241</f>
        <v>0</v>
      </c>
      <c r="AP49" s="21">
        <f>I49*(1-0.557068965517241)</f>
        <v>0</v>
      </c>
      <c r="AQ49" s="23" t="s">
        <v>47</v>
      </c>
      <c r="AV49" s="21">
        <f>AW49+AX49</f>
        <v>0</v>
      </c>
      <c r="AW49" s="21">
        <f>H49*AO49</f>
        <v>0</v>
      </c>
      <c r="AX49" s="21">
        <f>H49*AP49</f>
        <v>0</v>
      </c>
      <c r="AY49" s="23" t="s">
        <v>140</v>
      </c>
      <c r="AZ49" s="23" t="s">
        <v>141</v>
      </c>
      <c r="BA49" s="8" t="s">
        <v>54</v>
      </c>
      <c r="BC49" s="21">
        <f>AW49+AX49</f>
        <v>0</v>
      </c>
      <c r="BD49" s="21">
        <f>I49/(100-BE49)*100</f>
        <v>0</v>
      </c>
      <c r="BE49" s="21">
        <v>0</v>
      </c>
      <c r="BF49" s="21">
        <f>49</f>
        <v>49</v>
      </c>
      <c r="BH49" s="21">
        <f>H49*AO49</f>
        <v>0</v>
      </c>
      <c r="BI49" s="21">
        <f>H49*AP49</f>
        <v>0</v>
      </c>
      <c r="BJ49" s="21">
        <f>H49*I49</f>
        <v>0</v>
      </c>
      <c r="BK49" s="21"/>
      <c r="BL49" s="21">
        <v>21</v>
      </c>
    </row>
    <row r="50" spans="1:64" ht="15" customHeight="1">
      <c r="A50" s="20" t="s">
        <v>146</v>
      </c>
      <c r="B50" s="27" t="s">
        <v>147</v>
      </c>
      <c r="C50" s="60" t="s">
        <v>148</v>
      </c>
      <c r="D50" s="60"/>
      <c r="E50" s="60"/>
      <c r="F50" s="60"/>
      <c r="G50" s="3" t="s">
        <v>149</v>
      </c>
      <c r="H50" s="21">
        <v>1</v>
      </c>
      <c r="I50" s="21">
        <v>0</v>
      </c>
      <c r="J50" s="21">
        <f>H50*AO50</f>
        <v>0</v>
      </c>
      <c r="K50" s="21">
        <f>H50*AP50</f>
        <v>0</v>
      </c>
      <c r="L50" s="21">
        <f>H50*I50</f>
        <v>0</v>
      </c>
      <c r="M50" s="22" t="s">
        <v>51</v>
      </c>
      <c r="Z50" s="21">
        <f>IF(AQ50="5",BJ50,0)</f>
        <v>0</v>
      </c>
      <c r="AB50" s="21">
        <f>IF(AQ50="1",BH50,0)</f>
        <v>0</v>
      </c>
      <c r="AC50" s="21">
        <f>IF(AQ50="1",BI50,0)</f>
        <v>0</v>
      </c>
      <c r="AD50" s="21">
        <f>IF(AQ50="7",BH50,0)</f>
        <v>0</v>
      </c>
      <c r="AE50" s="21">
        <f>IF(AQ50="7",BI50,0)</f>
        <v>0</v>
      </c>
      <c r="AF50" s="21">
        <f>IF(AQ50="2",BH50,0)</f>
        <v>0</v>
      </c>
      <c r="AG50" s="21">
        <f>IF(AQ50="2",BI50,0)</f>
        <v>0</v>
      </c>
      <c r="AH50" s="21">
        <f>IF(AQ50="0",BJ50,0)</f>
        <v>0</v>
      </c>
      <c r="AI50" s="8"/>
      <c r="AJ50" s="21">
        <f>IF(AN50=0,L50,0)</f>
        <v>0</v>
      </c>
      <c r="AK50" s="21">
        <f>IF(AN50=15,L50,0)</f>
        <v>0</v>
      </c>
      <c r="AL50" s="21">
        <f>IF(AN50=21,L50,0)</f>
        <v>0</v>
      </c>
      <c r="AN50" s="21">
        <v>21</v>
      </c>
      <c r="AO50" s="21">
        <f>I50*0.19693</f>
        <v>0</v>
      </c>
      <c r="AP50" s="21">
        <f>I50*(1-0.19693)</f>
        <v>0</v>
      </c>
      <c r="AQ50" s="23" t="s">
        <v>47</v>
      </c>
      <c r="AV50" s="21">
        <f>AW50+AX50</f>
        <v>0</v>
      </c>
      <c r="AW50" s="21">
        <f>H50*AO50</f>
        <v>0</v>
      </c>
      <c r="AX50" s="21">
        <f>H50*AP50</f>
        <v>0</v>
      </c>
      <c r="AY50" s="23" t="s">
        <v>140</v>
      </c>
      <c r="AZ50" s="23" t="s">
        <v>141</v>
      </c>
      <c r="BA50" s="8" t="s">
        <v>54</v>
      </c>
      <c r="BC50" s="21">
        <f>AW50+AX50</f>
        <v>0</v>
      </c>
      <c r="BD50" s="21">
        <f>I50/(100-BE50)*100</f>
        <v>0</v>
      </c>
      <c r="BE50" s="21">
        <v>0</v>
      </c>
      <c r="BF50" s="21">
        <f>50</f>
        <v>50</v>
      </c>
      <c r="BH50" s="21">
        <f>H50*AO50</f>
        <v>0</v>
      </c>
      <c r="BI50" s="21">
        <f>H50*AP50</f>
        <v>0</v>
      </c>
      <c r="BJ50" s="21">
        <f>H50*I50</f>
        <v>0</v>
      </c>
      <c r="BK50" s="21"/>
      <c r="BL50" s="21">
        <v>21</v>
      </c>
    </row>
    <row r="51" spans="1:47" ht="15" customHeight="1">
      <c r="A51" s="16"/>
      <c r="B51" s="17" t="s">
        <v>150</v>
      </c>
      <c r="C51" s="65" t="s">
        <v>151</v>
      </c>
      <c r="D51" s="65"/>
      <c r="E51" s="65"/>
      <c r="F51" s="65"/>
      <c r="G51" s="18" t="s">
        <v>4</v>
      </c>
      <c r="H51" s="18" t="s">
        <v>4</v>
      </c>
      <c r="I51" s="18" t="s">
        <v>4</v>
      </c>
      <c r="J51" s="2">
        <f>SUM(J52:J52)</f>
        <v>0</v>
      </c>
      <c r="K51" s="2">
        <f>SUM(K52:K52)</f>
        <v>0</v>
      </c>
      <c r="L51" s="2">
        <f>SUM(L52:L52)</f>
        <v>0</v>
      </c>
      <c r="M51" s="19"/>
      <c r="AI51" s="8"/>
      <c r="AS51" s="2">
        <f>SUM(AJ52:AJ52)</f>
        <v>0</v>
      </c>
      <c r="AT51" s="2">
        <f>SUM(AK52:AK52)</f>
        <v>0</v>
      </c>
      <c r="AU51" s="2">
        <f>SUM(AL52:AL52)</f>
        <v>0</v>
      </c>
    </row>
    <row r="52" spans="1:64" ht="15" customHeight="1">
      <c r="A52" s="20" t="s">
        <v>152</v>
      </c>
      <c r="B52" s="3" t="s">
        <v>153</v>
      </c>
      <c r="C52" s="60" t="s">
        <v>154</v>
      </c>
      <c r="D52" s="60"/>
      <c r="E52" s="60"/>
      <c r="F52" s="60"/>
      <c r="G52" s="3" t="s">
        <v>73</v>
      </c>
      <c r="H52" s="21">
        <v>3.7</v>
      </c>
      <c r="I52" s="21">
        <v>0</v>
      </c>
      <c r="J52" s="21">
        <f>H52*AO52</f>
        <v>0</v>
      </c>
      <c r="K52" s="21">
        <f>H52*AP52</f>
        <v>0</v>
      </c>
      <c r="L52" s="21">
        <f>H52*I52</f>
        <v>0</v>
      </c>
      <c r="M52" s="22" t="s">
        <v>51</v>
      </c>
      <c r="Z52" s="21">
        <f>IF(AQ52="5",BJ52,0)</f>
        <v>0</v>
      </c>
      <c r="AB52" s="21">
        <f>IF(AQ52="1",BH52,0)</f>
        <v>0</v>
      </c>
      <c r="AC52" s="21">
        <f>IF(AQ52="1",BI52,0)</f>
        <v>0</v>
      </c>
      <c r="AD52" s="21">
        <f>IF(AQ52="7",BH52,0)</f>
        <v>0</v>
      </c>
      <c r="AE52" s="21">
        <f>IF(AQ52="7",BI52,0)</f>
        <v>0</v>
      </c>
      <c r="AF52" s="21">
        <f>IF(AQ52="2",BH52,0)</f>
        <v>0</v>
      </c>
      <c r="AG52" s="21">
        <f>IF(AQ52="2",BI52,0)</f>
        <v>0</v>
      </c>
      <c r="AH52" s="21">
        <f>IF(AQ52="0",BJ52,0)</f>
        <v>0</v>
      </c>
      <c r="AI52" s="8"/>
      <c r="AJ52" s="21">
        <f>IF(AN52=0,L52,0)</f>
        <v>0</v>
      </c>
      <c r="AK52" s="21">
        <f>IF(AN52=15,L52,0)</f>
        <v>0</v>
      </c>
      <c r="AL52" s="21">
        <f>IF(AN52=21,L52,0)</f>
        <v>0</v>
      </c>
      <c r="AN52" s="21">
        <v>21</v>
      </c>
      <c r="AO52" s="21">
        <f>I52*0.83718670886076</f>
        <v>0</v>
      </c>
      <c r="AP52" s="21">
        <f>I52*(1-0.83718670886076)</f>
        <v>0</v>
      </c>
      <c r="AQ52" s="23" t="s">
        <v>47</v>
      </c>
      <c r="AV52" s="21">
        <f>AW52+AX52</f>
        <v>0</v>
      </c>
      <c r="AW52" s="21">
        <f>H52*AO52</f>
        <v>0</v>
      </c>
      <c r="AX52" s="21">
        <f>H52*AP52</f>
        <v>0</v>
      </c>
      <c r="AY52" s="23" t="s">
        <v>155</v>
      </c>
      <c r="AZ52" s="23" t="s">
        <v>141</v>
      </c>
      <c r="BA52" s="8" t="s">
        <v>54</v>
      </c>
      <c r="BC52" s="21">
        <f>AW52+AX52</f>
        <v>0</v>
      </c>
      <c r="BD52" s="21">
        <f>I52/(100-BE52)*100</f>
        <v>0</v>
      </c>
      <c r="BE52" s="21">
        <v>0</v>
      </c>
      <c r="BF52" s="21">
        <f>52</f>
        <v>52</v>
      </c>
      <c r="BH52" s="21">
        <f>H52*AO52</f>
        <v>0</v>
      </c>
      <c r="BI52" s="21">
        <f>H52*AP52</f>
        <v>0</v>
      </c>
      <c r="BJ52" s="21">
        <f>H52*I52</f>
        <v>0</v>
      </c>
      <c r="BK52" s="21"/>
      <c r="BL52" s="21">
        <v>27</v>
      </c>
    </row>
    <row r="53" spans="1:13" ht="54" customHeight="1">
      <c r="A53" s="24"/>
      <c r="B53" s="25" t="s">
        <v>55</v>
      </c>
      <c r="C53" s="66" t="s">
        <v>156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</row>
    <row r="54" spans="1:47" ht="15" customHeight="1">
      <c r="A54" s="16"/>
      <c r="B54" s="17" t="s">
        <v>157</v>
      </c>
      <c r="C54" s="65" t="s">
        <v>158</v>
      </c>
      <c r="D54" s="65"/>
      <c r="E54" s="65"/>
      <c r="F54" s="65"/>
      <c r="G54" s="18" t="s">
        <v>4</v>
      </c>
      <c r="H54" s="18" t="s">
        <v>4</v>
      </c>
      <c r="I54" s="18" t="s">
        <v>4</v>
      </c>
      <c r="J54" s="2">
        <f>SUM(J55:J55)</f>
        <v>0</v>
      </c>
      <c r="K54" s="2">
        <f>SUM(K55:K55)</f>
        <v>0</v>
      </c>
      <c r="L54" s="2">
        <f>SUM(L55:L55)</f>
        <v>0</v>
      </c>
      <c r="M54" s="19"/>
      <c r="AI54" s="8"/>
      <c r="AS54" s="2">
        <f>SUM(AJ55:AJ55)</f>
        <v>0</v>
      </c>
      <c r="AT54" s="2">
        <f>SUM(AK55:AK55)</f>
        <v>0</v>
      </c>
      <c r="AU54" s="2">
        <f>SUM(AL55:AL55)</f>
        <v>0</v>
      </c>
    </row>
    <row r="55" spans="1:64" ht="15" customHeight="1">
      <c r="A55" s="20" t="s">
        <v>159</v>
      </c>
      <c r="B55" s="3" t="s">
        <v>160</v>
      </c>
      <c r="C55" s="60" t="s">
        <v>161</v>
      </c>
      <c r="D55" s="60"/>
      <c r="E55" s="60"/>
      <c r="F55" s="60"/>
      <c r="G55" s="3" t="s">
        <v>88</v>
      </c>
      <c r="H55" s="21">
        <v>45</v>
      </c>
      <c r="I55" s="21">
        <v>0</v>
      </c>
      <c r="J55" s="21">
        <f>H55*AO55</f>
        <v>0</v>
      </c>
      <c r="K55" s="21">
        <f>H55*AP55</f>
        <v>0</v>
      </c>
      <c r="L55" s="21">
        <f>H55*I55</f>
        <v>0</v>
      </c>
      <c r="M55" s="22" t="s">
        <v>51</v>
      </c>
      <c r="Z55" s="21">
        <f>IF(AQ55="5",BJ55,0)</f>
        <v>0</v>
      </c>
      <c r="AB55" s="21">
        <f>IF(AQ55="1",BH55,0)</f>
        <v>0</v>
      </c>
      <c r="AC55" s="21">
        <f>IF(AQ55="1",BI55,0)</f>
        <v>0</v>
      </c>
      <c r="AD55" s="21">
        <f>IF(AQ55="7",BH55,0)</f>
        <v>0</v>
      </c>
      <c r="AE55" s="21">
        <f>IF(AQ55="7",BI55,0)</f>
        <v>0</v>
      </c>
      <c r="AF55" s="21">
        <f>IF(AQ55="2",BH55,0)</f>
        <v>0</v>
      </c>
      <c r="AG55" s="21">
        <f>IF(AQ55="2",BI55,0)</f>
        <v>0</v>
      </c>
      <c r="AH55" s="21">
        <f>IF(AQ55="0",BJ55,0)</f>
        <v>0</v>
      </c>
      <c r="AI55" s="8"/>
      <c r="AJ55" s="21">
        <f>IF(AN55=0,L55,0)</f>
        <v>0</v>
      </c>
      <c r="AK55" s="21">
        <f>IF(AN55=15,L55,0)</f>
        <v>0</v>
      </c>
      <c r="AL55" s="21">
        <f>IF(AN55=21,L55,0)</f>
        <v>0</v>
      </c>
      <c r="AN55" s="21">
        <v>21</v>
      </c>
      <c r="AO55" s="21">
        <f>I55*0.314995094709833</f>
        <v>0</v>
      </c>
      <c r="AP55" s="21">
        <f>I55*(1-0.314995094709833)</f>
        <v>0</v>
      </c>
      <c r="AQ55" s="23" t="s">
        <v>47</v>
      </c>
      <c r="AV55" s="21">
        <f>AW55+AX55</f>
        <v>0</v>
      </c>
      <c r="AW55" s="21">
        <f>H55*AO55</f>
        <v>0</v>
      </c>
      <c r="AX55" s="21">
        <f>H55*AP55</f>
        <v>0</v>
      </c>
      <c r="AY55" s="23" t="s">
        <v>162</v>
      </c>
      <c r="AZ55" s="23" t="s">
        <v>141</v>
      </c>
      <c r="BA55" s="8" t="s">
        <v>54</v>
      </c>
      <c r="BC55" s="21">
        <f>AW55+AX55</f>
        <v>0</v>
      </c>
      <c r="BD55" s="21">
        <f>I55/(100-BE55)*100</f>
        <v>0</v>
      </c>
      <c r="BE55" s="21">
        <v>0</v>
      </c>
      <c r="BF55" s="21">
        <f>55</f>
        <v>55</v>
      </c>
      <c r="BH55" s="21">
        <f>H55*AO55</f>
        <v>0</v>
      </c>
      <c r="BI55" s="21">
        <f>H55*AP55</f>
        <v>0</v>
      </c>
      <c r="BJ55" s="21">
        <f>H55*I55</f>
        <v>0</v>
      </c>
      <c r="BK55" s="21"/>
      <c r="BL55" s="21">
        <v>28</v>
      </c>
    </row>
    <row r="56" spans="1:13" ht="13.5" customHeight="1">
      <c r="A56" s="24"/>
      <c r="B56" s="25" t="s">
        <v>55</v>
      </c>
      <c r="C56" s="66" t="s">
        <v>163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</row>
    <row r="57" spans="1:47" ht="15" customHeight="1">
      <c r="A57" s="16"/>
      <c r="B57" s="17" t="s">
        <v>164</v>
      </c>
      <c r="C57" s="65" t="s">
        <v>165</v>
      </c>
      <c r="D57" s="65"/>
      <c r="E57" s="65"/>
      <c r="F57" s="65"/>
      <c r="G57" s="18" t="s">
        <v>4</v>
      </c>
      <c r="H57" s="18" t="s">
        <v>4</v>
      </c>
      <c r="I57" s="18" t="s">
        <v>4</v>
      </c>
      <c r="J57" s="2">
        <f>SUM(J58:J65)</f>
        <v>0</v>
      </c>
      <c r="K57" s="2">
        <f>SUM(K58:K65)</f>
        <v>0</v>
      </c>
      <c r="L57" s="2">
        <f>SUM(L58:L65)</f>
        <v>0</v>
      </c>
      <c r="M57" s="19"/>
      <c r="AI57" s="8"/>
      <c r="AS57" s="2">
        <f>SUM(AJ58:AJ65)</f>
        <v>0</v>
      </c>
      <c r="AT57" s="2">
        <f>SUM(AK58:AK65)</f>
        <v>0</v>
      </c>
      <c r="AU57" s="2">
        <f>SUM(AL58:AL65)</f>
        <v>0</v>
      </c>
    </row>
    <row r="58" spans="1:64" ht="15" customHeight="1">
      <c r="A58" s="20" t="s">
        <v>166</v>
      </c>
      <c r="B58" s="3" t="s">
        <v>167</v>
      </c>
      <c r="C58" s="60" t="s">
        <v>168</v>
      </c>
      <c r="D58" s="60"/>
      <c r="E58" s="60"/>
      <c r="F58" s="60"/>
      <c r="G58" s="3" t="s">
        <v>73</v>
      </c>
      <c r="H58" s="21">
        <v>25.52</v>
      </c>
      <c r="I58" s="21">
        <v>0</v>
      </c>
      <c r="J58" s="21">
        <f>H58*AO58</f>
        <v>0</v>
      </c>
      <c r="K58" s="21">
        <f>H58*AP58</f>
        <v>0</v>
      </c>
      <c r="L58" s="21">
        <f>H58*I58</f>
        <v>0</v>
      </c>
      <c r="M58" s="22" t="s">
        <v>51</v>
      </c>
      <c r="Z58" s="21">
        <f>IF(AQ58="5",BJ58,0)</f>
        <v>0</v>
      </c>
      <c r="AB58" s="21">
        <f>IF(AQ58="1",BH58,0)</f>
        <v>0</v>
      </c>
      <c r="AC58" s="21">
        <f>IF(AQ58="1",BI58,0)</f>
        <v>0</v>
      </c>
      <c r="AD58" s="21">
        <f>IF(AQ58="7",BH58,0)</f>
        <v>0</v>
      </c>
      <c r="AE58" s="21">
        <f>IF(AQ58="7",BI58,0)</f>
        <v>0</v>
      </c>
      <c r="AF58" s="21">
        <f>IF(AQ58="2",BH58,0)</f>
        <v>0</v>
      </c>
      <c r="AG58" s="21">
        <f>IF(AQ58="2",BI58,0)</f>
        <v>0</v>
      </c>
      <c r="AH58" s="21">
        <f>IF(AQ58="0",BJ58,0)</f>
        <v>0</v>
      </c>
      <c r="AI58" s="8"/>
      <c r="AJ58" s="21">
        <f>IF(AN58=0,L58,0)</f>
        <v>0</v>
      </c>
      <c r="AK58" s="21">
        <f>IF(AN58=15,L58,0)</f>
        <v>0</v>
      </c>
      <c r="AL58" s="21">
        <f>IF(AN58=21,L58,0)</f>
        <v>0</v>
      </c>
      <c r="AN58" s="21">
        <v>21</v>
      </c>
      <c r="AO58" s="21">
        <f>I58*0.936532427882023</f>
        <v>0</v>
      </c>
      <c r="AP58" s="21">
        <f>I58*(1-0.936532427882023)</f>
        <v>0</v>
      </c>
      <c r="AQ58" s="23" t="s">
        <v>47</v>
      </c>
      <c r="AV58" s="21">
        <f>AW58+AX58</f>
        <v>0</v>
      </c>
      <c r="AW58" s="21">
        <f>H58*AO58</f>
        <v>0</v>
      </c>
      <c r="AX58" s="21">
        <f>H58*AP58</f>
        <v>0</v>
      </c>
      <c r="AY58" s="23" t="s">
        <v>169</v>
      </c>
      <c r="AZ58" s="23" t="s">
        <v>170</v>
      </c>
      <c r="BA58" s="8" t="s">
        <v>54</v>
      </c>
      <c r="BC58" s="21">
        <f>AW58+AX58</f>
        <v>0</v>
      </c>
      <c r="BD58" s="21">
        <f>I58/(100-BE58)*100</f>
        <v>0</v>
      </c>
      <c r="BE58" s="21">
        <v>0</v>
      </c>
      <c r="BF58" s="21">
        <f>58</f>
        <v>58</v>
      </c>
      <c r="BH58" s="21">
        <f>H58*AO58</f>
        <v>0</v>
      </c>
      <c r="BI58" s="21">
        <f>H58*AP58</f>
        <v>0</v>
      </c>
      <c r="BJ58" s="21">
        <f>H58*I58</f>
        <v>0</v>
      </c>
      <c r="BK58" s="21"/>
      <c r="BL58" s="21">
        <v>32</v>
      </c>
    </row>
    <row r="59" spans="1:13" ht="27" customHeight="1">
      <c r="A59" s="24"/>
      <c r="B59" s="25" t="s">
        <v>55</v>
      </c>
      <c r="C59" s="66" t="s">
        <v>171</v>
      </c>
      <c r="D59" s="66"/>
      <c r="E59" s="66"/>
      <c r="F59" s="66"/>
      <c r="G59" s="66"/>
      <c r="H59" s="66"/>
      <c r="I59" s="66"/>
      <c r="J59" s="66"/>
      <c r="K59" s="66"/>
      <c r="L59" s="66"/>
      <c r="M59" s="66"/>
    </row>
    <row r="60" spans="1:64" ht="15" customHeight="1">
      <c r="A60" s="20" t="s">
        <v>150</v>
      </c>
      <c r="B60" s="3" t="s">
        <v>172</v>
      </c>
      <c r="C60" s="60" t="s">
        <v>173</v>
      </c>
      <c r="D60" s="60"/>
      <c r="E60" s="60"/>
      <c r="F60" s="60"/>
      <c r="G60" s="3" t="s">
        <v>134</v>
      </c>
      <c r="H60" s="21">
        <v>1.65</v>
      </c>
      <c r="I60" s="21">
        <v>0</v>
      </c>
      <c r="J60" s="21">
        <f>H60*AO60</f>
        <v>0</v>
      </c>
      <c r="K60" s="21">
        <f>H60*AP60</f>
        <v>0</v>
      </c>
      <c r="L60" s="21">
        <f>H60*I60</f>
        <v>0</v>
      </c>
      <c r="M60" s="22" t="s">
        <v>51</v>
      </c>
      <c r="Z60" s="21">
        <f>IF(AQ60="5",BJ60,0)</f>
        <v>0</v>
      </c>
      <c r="AB60" s="21">
        <f>IF(AQ60="1",BH60,0)</f>
        <v>0</v>
      </c>
      <c r="AC60" s="21">
        <f>IF(AQ60="1",BI60,0)</f>
        <v>0</v>
      </c>
      <c r="AD60" s="21">
        <f>IF(AQ60="7",BH60,0)</f>
        <v>0</v>
      </c>
      <c r="AE60" s="21">
        <f>IF(AQ60="7",BI60,0)</f>
        <v>0</v>
      </c>
      <c r="AF60" s="21">
        <f>IF(AQ60="2",BH60,0)</f>
        <v>0</v>
      </c>
      <c r="AG60" s="21">
        <f>IF(AQ60="2",BI60,0)</f>
        <v>0</v>
      </c>
      <c r="AH60" s="21">
        <f>IF(AQ60="0",BJ60,0)</f>
        <v>0</v>
      </c>
      <c r="AI60" s="8"/>
      <c r="AJ60" s="21">
        <f>IF(AN60=0,L60,0)</f>
        <v>0</v>
      </c>
      <c r="AK60" s="21">
        <f>IF(AN60=15,L60,0)</f>
        <v>0</v>
      </c>
      <c r="AL60" s="21">
        <f>IF(AN60=21,L60,0)</f>
        <v>0</v>
      </c>
      <c r="AN60" s="21">
        <v>21</v>
      </c>
      <c r="AO60" s="21">
        <f>I60*0.840277207107163</f>
        <v>0</v>
      </c>
      <c r="AP60" s="21">
        <f>I60*(1-0.840277207107163)</f>
        <v>0</v>
      </c>
      <c r="AQ60" s="23" t="s">
        <v>47</v>
      </c>
      <c r="AV60" s="21">
        <f>AW60+AX60</f>
        <v>0</v>
      </c>
      <c r="AW60" s="21">
        <f>H60*AO60</f>
        <v>0</v>
      </c>
      <c r="AX60" s="21">
        <f>H60*AP60</f>
        <v>0</v>
      </c>
      <c r="AY60" s="23" t="s">
        <v>169</v>
      </c>
      <c r="AZ60" s="23" t="s">
        <v>170</v>
      </c>
      <c r="BA60" s="8" t="s">
        <v>54</v>
      </c>
      <c r="BC60" s="21">
        <f>AW60+AX60</f>
        <v>0</v>
      </c>
      <c r="BD60" s="21">
        <f>I60/(100-BE60)*100</f>
        <v>0</v>
      </c>
      <c r="BE60" s="21">
        <v>0</v>
      </c>
      <c r="BF60" s="21">
        <f>60</f>
        <v>60</v>
      </c>
      <c r="BH60" s="21">
        <f>H60*AO60</f>
        <v>0</v>
      </c>
      <c r="BI60" s="21">
        <f>H60*AP60</f>
        <v>0</v>
      </c>
      <c r="BJ60" s="21">
        <f>H60*I60</f>
        <v>0</v>
      </c>
      <c r="BK60" s="21"/>
      <c r="BL60" s="21">
        <v>32</v>
      </c>
    </row>
    <row r="61" spans="1:13" ht="13.5" customHeight="1">
      <c r="A61" s="24"/>
      <c r="B61" s="25" t="s">
        <v>55</v>
      </c>
      <c r="C61" s="66" t="s">
        <v>174</v>
      </c>
      <c r="D61" s="66"/>
      <c r="E61" s="66"/>
      <c r="F61" s="66"/>
      <c r="G61" s="66"/>
      <c r="H61" s="66"/>
      <c r="I61" s="66"/>
      <c r="J61" s="66"/>
      <c r="K61" s="66"/>
      <c r="L61" s="66"/>
      <c r="M61" s="66"/>
    </row>
    <row r="62" spans="1:64" ht="15" customHeight="1">
      <c r="A62" s="20" t="s">
        <v>157</v>
      </c>
      <c r="B62" s="3" t="s">
        <v>175</v>
      </c>
      <c r="C62" s="60" t="s">
        <v>176</v>
      </c>
      <c r="D62" s="60"/>
      <c r="E62" s="60"/>
      <c r="F62" s="60"/>
      <c r="G62" s="3" t="s">
        <v>88</v>
      </c>
      <c r="H62" s="21">
        <v>111.6</v>
      </c>
      <c r="I62" s="21">
        <v>0</v>
      </c>
      <c r="J62" s="21">
        <f>H62*AO62</f>
        <v>0</v>
      </c>
      <c r="K62" s="21">
        <f>H62*AP62</f>
        <v>0</v>
      </c>
      <c r="L62" s="21">
        <f>H62*I62</f>
        <v>0</v>
      </c>
      <c r="M62" s="22" t="s">
        <v>51</v>
      </c>
      <c r="Z62" s="21">
        <f>IF(AQ62="5",BJ62,0)</f>
        <v>0</v>
      </c>
      <c r="AB62" s="21">
        <f>IF(AQ62="1",BH62,0)</f>
        <v>0</v>
      </c>
      <c r="AC62" s="21">
        <f>IF(AQ62="1",BI62,0)</f>
        <v>0</v>
      </c>
      <c r="AD62" s="21">
        <f>IF(AQ62="7",BH62,0)</f>
        <v>0</v>
      </c>
      <c r="AE62" s="21">
        <f>IF(AQ62="7",BI62,0)</f>
        <v>0</v>
      </c>
      <c r="AF62" s="21">
        <f>IF(AQ62="2",BH62,0)</f>
        <v>0</v>
      </c>
      <c r="AG62" s="21">
        <f>IF(AQ62="2",BI62,0)</f>
        <v>0</v>
      </c>
      <c r="AH62" s="21">
        <f>IF(AQ62="0",BJ62,0)</f>
        <v>0</v>
      </c>
      <c r="AI62" s="8"/>
      <c r="AJ62" s="21">
        <f>IF(AN62=0,L62,0)</f>
        <v>0</v>
      </c>
      <c r="AK62" s="21">
        <f>IF(AN62=15,L62,0)</f>
        <v>0</v>
      </c>
      <c r="AL62" s="21">
        <f>IF(AN62=21,L62,0)</f>
        <v>0</v>
      </c>
      <c r="AN62" s="21">
        <v>21</v>
      </c>
      <c r="AO62" s="21">
        <f>I62*0.204632405424697</f>
        <v>0</v>
      </c>
      <c r="AP62" s="21">
        <f>I62*(1-0.204632405424697)</f>
        <v>0</v>
      </c>
      <c r="AQ62" s="23" t="s">
        <v>47</v>
      </c>
      <c r="AV62" s="21">
        <f>AW62+AX62</f>
        <v>0</v>
      </c>
      <c r="AW62" s="21">
        <f>H62*AO62</f>
        <v>0</v>
      </c>
      <c r="AX62" s="21">
        <f>H62*AP62</f>
        <v>0</v>
      </c>
      <c r="AY62" s="23" t="s">
        <v>169</v>
      </c>
      <c r="AZ62" s="23" t="s">
        <v>170</v>
      </c>
      <c r="BA62" s="8" t="s">
        <v>54</v>
      </c>
      <c r="BC62" s="21">
        <f>AW62+AX62</f>
        <v>0</v>
      </c>
      <c r="BD62" s="21">
        <f>I62/(100-BE62)*100</f>
        <v>0</v>
      </c>
      <c r="BE62" s="21">
        <v>0</v>
      </c>
      <c r="BF62" s="21">
        <f>62</f>
        <v>62</v>
      </c>
      <c r="BH62" s="21">
        <f>H62*AO62</f>
        <v>0</v>
      </c>
      <c r="BI62" s="21">
        <f>H62*AP62</f>
        <v>0</v>
      </c>
      <c r="BJ62" s="21">
        <f>H62*I62</f>
        <v>0</v>
      </c>
      <c r="BK62" s="21"/>
      <c r="BL62" s="21">
        <v>32</v>
      </c>
    </row>
    <row r="63" spans="1:13" ht="13.5" customHeight="1">
      <c r="A63" s="24"/>
      <c r="B63" s="25" t="s">
        <v>55</v>
      </c>
      <c r="C63" s="66" t="s">
        <v>177</v>
      </c>
      <c r="D63" s="66"/>
      <c r="E63" s="66"/>
      <c r="F63" s="66"/>
      <c r="G63" s="66"/>
      <c r="H63" s="66"/>
      <c r="I63" s="66"/>
      <c r="J63" s="66"/>
      <c r="K63" s="66"/>
      <c r="L63" s="66"/>
      <c r="M63" s="66"/>
    </row>
    <row r="64" spans="1:64" ht="15" customHeight="1">
      <c r="A64" s="20" t="s">
        <v>178</v>
      </c>
      <c r="B64" s="3" t="s">
        <v>179</v>
      </c>
      <c r="C64" s="60" t="s">
        <v>180</v>
      </c>
      <c r="D64" s="60"/>
      <c r="E64" s="60"/>
      <c r="F64" s="60"/>
      <c r="G64" s="3" t="s">
        <v>88</v>
      </c>
      <c r="H64" s="21">
        <v>111.6</v>
      </c>
      <c r="I64" s="21">
        <v>0</v>
      </c>
      <c r="J64" s="21">
        <f>H64*AO64</f>
        <v>0</v>
      </c>
      <c r="K64" s="21">
        <f>H64*AP64</f>
        <v>0</v>
      </c>
      <c r="L64" s="21">
        <f>H64*I64</f>
        <v>0</v>
      </c>
      <c r="M64" s="22" t="s">
        <v>51</v>
      </c>
      <c r="Z64" s="21">
        <f>IF(AQ64="5",BJ64,0)</f>
        <v>0</v>
      </c>
      <c r="AB64" s="21">
        <f>IF(AQ64="1",BH64,0)</f>
        <v>0</v>
      </c>
      <c r="AC64" s="21">
        <f>IF(AQ64="1",BI64,0)</f>
        <v>0</v>
      </c>
      <c r="AD64" s="21">
        <f>IF(AQ64="7",BH64,0)</f>
        <v>0</v>
      </c>
      <c r="AE64" s="21">
        <f>IF(AQ64="7",BI64,0)</f>
        <v>0</v>
      </c>
      <c r="AF64" s="21">
        <f>IF(AQ64="2",BH64,0)</f>
        <v>0</v>
      </c>
      <c r="AG64" s="21">
        <f>IF(AQ64="2",BI64,0)</f>
        <v>0</v>
      </c>
      <c r="AH64" s="21">
        <f>IF(AQ64="0",BJ64,0)</f>
        <v>0</v>
      </c>
      <c r="AI64" s="8"/>
      <c r="AJ64" s="21">
        <f>IF(AN64=0,L64,0)</f>
        <v>0</v>
      </c>
      <c r="AK64" s="21">
        <f>IF(AN64=15,L64,0)</f>
        <v>0</v>
      </c>
      <c r="AL64" s="21">
        <f>IF(AN64=21,L64,0)</f>
        <v>0</v>
      </c>
      <c r="AN64" s="21">
        <v>21</v>
      </c>
      <c r="AO64" s="21">
        <f>I64*0</f>
        <v>0</v>
      </c>
      <c r="AP64" s="21">
        <f>I64*(1-0)</f>
        <v>0</v>
      </c>
      <c r="AQ64" s="23" t="s">
        <v>47</v>
      </c>
      <c r="AV64" s="21">
        <f>AW64+AX64</f>
        <v>0</v>
      </c>
      <c r="AW64" s="21">
        <f>H64*AO64</f>
        <v>0</v>
      </c>
      <c r="AX64" s="21">
        <f>H64*AP64</f>
        <v>0</v>
      </c>
      <c r="AY64" s="23" t="s">
        <v>169</v>
      </c>
      <c r="AZ64" s="23" t="s">
        <v>170</v>
      </c>
      <c r="BA64" s="8" t="s">
        <v>54</v>
      </c>
      <c r="BC64" s="21">
        <f>AW64+AX64</f>
        <v>0</v>
      </c>
      <c r="BD64" s="21">
        <f>I64/(100-BE64)*100</f>
        <v>0</v>
      </c>
      <c r="BE64" s="21">
        <v>0</v>
      </c>
      <c r="BF64" s="21">
        <f>64</f>
        <v>64</v>
      </c>
      <c r="BH64" s="21">
        <f>H64*AO64</f>
        <v>0</v>
      </c>
      <c r="BI64" s="21">
        <f>H64*AP64</f>
        <v>0</v>
      </c>
      <c r="BJ64" s="21">
        <f>H64*I64</f>
        <v>0</v>
      </c>
      <c r="BK64" s="21"/>
      <c r="BL64" s="21">
        <v>32</v>
      </c>
    </row>
    <row r="65" spans="1:64" ht="15" customHeight="1">
      <c r="A65" s="20" t="s">
        <v>181</v>
      </c>
      <c r="B65" s="3" t="s">
        <v>182</v>
      </c>
      <c r="C65" s="60" t="s">
        <v>183</v>
      </c>
      <c r="D65" s="60"/>
      <c r="E65" s="60"/>
      <c r="F65" s="60"/>
      <c r="G65" s="3" t="s">
        <v>184</v>
      </c>
      <c r="H65" s="21">
        <v>5</v>
      </c>
      <c r="I65" s="21">
        <v>0</v>
      </c>
      <c r="J65" s="21">
        <f>H65*AO65</f>
        <v>0</v>
      </c>
      <c r="K65" s="21">
        <f>H65*AP65</f>
        <v>0</v>
      </c>
      <c r="L65" s="21">
        <f>H65*I65</f>
        <v>0</v>
      </c>
      <c r="M65" s="22" t="s">
        <v>185</v>
      </c>
      <c r="Z65" s="21">
        <f>IF(AQ65="5",BJ65,0)</f>
        <v>0</v>
      </c>
      <c r="AB65" s="21">
        <f>IF(AQ65="1",BH65,0)</f>
        <v>0</v>
      </c>
      <c r="AC65" s="21">
        <f>IF(AQ65="1",BI65,0)</f>
        <v>0</v>
      </c>
      <c r="AD65" s="21">
        <f>IF(AQ65="7",BH65,0)</f>
        <v>0</v>
      </c>
      <c r="AE65" s="21">
        <f>IF(AQ65="7",BI65,0)</f>
        <v>0</v>
      </c>
      <c r="AF65" s="21">
        <f>IF(AQ65="2",BH65,0)</f>
        <v>0</v>
      </c>
      <c r="AG65" s="21">
        <f>IF(AQ65="2",BI65,0)</f>
        <v>0</v>
      </c>
      <c r="AH65" s="21">
        <f>IF(AQ65="0",BJ65,0)</f>
        <v>0</v>
      </c>
      <c r="AI65" s="8"/>
      <c r="AJ65" s="21">
        <f>IF(AN65=0,L65,0)</f>
        <v>0</v>
      </c>
      <c r="AK65" s="21">
        <f>IF(AN65=15,L65,0)</f>
        <v>0</v>
      </c>
      <c r="AL65" s="21">
        <f>IF(AN65=21,L65,0)</f>
        <v>0</v>
      </c>
      <c r="AN65" s="21">
        <v>21</v>
      </c>
      <c r="AO65" s="21">
        <f>I65*0.831676923076923</f>
        <v>0</v>
      </c>
      <c r="AP65" s="21">
        <f>I65*(1-0.831676923076923)</f>
        <v>0</v>
      </c>
      <c r="AQ65" s="23" t="s">
        <v>47</v>
      </c>
      <c r="AV65" s="21">
        <f>AW65+AX65</f>
        <v>0</v>
      </c>
      <c r="AW65" s="21">
        <f>H65*AO65</f>
        <v>0</v>
      </c>
      <c r="AX65" s="21">
        <f>H65*AP65</f>
        <v>0</v>
      </c>
      <c r="AY65" s="23" t="s">
        <v>169</v>
      </c>
      <c r="AZ65" s="23" t="s">
        <v>170</v>
      </c>
      <c r="BA65" s="8" t="s">
        <v>54</v>
      </c>
      <c r="BC65" s="21">
        <f>AW65+AX65</f>
        <v>0</v>
      </c>
      <c r="BD65" s="21">
        <f>I65/(100-BE65)*100</f>
        <v>0</v>
      </c>
      <c r="BE65" s="21">
        <v>0</v>
      </c>
      <c r="BF65" s="21">
        <f>65</f>
        <v>65</v>
      </c>
      <c r="BH65" s="21">
        <f>H65*AO65</f>
        <v>0</v>
      </c>
      <c r="BI65" s="21">
        <f>H65*AP65</f>
        <v>0</v>
      </c>
      <c r="BJ65" s="21">
        <f>H65*I65</f>
        <v>0</v>
      </c>
      <c r="BK65" s="21"/>
      <c r="BL65" s="21">
        <v>32</v>
      </c>
    </row>
    <row r="66" spans="1:47" ht="15" customHeight="1">
      <c r="A66" s="16"/>
      <c r="B66" s="17" t="s">
        <v>186</v>
      </c>
      <c r="C66" s="65" t="s">
        <v>187</v>
      </c>
      <c r="D66" s="65"/>
      <c r="E66" s="65"/>
      <c r="F66" s="65"/>
      <c r="G66" s="18" t="s">
        <v>4</v>
      </c>
      <c r="H66" s="18" t="s">
        <v>4</v>
      </c>
      <c r="I66" s="18" t="s">
        <v>4</v>
      </c>
      <c r="J66" s="2">
        <f>SUM(J67:J71)</f>
        <v>0</v>
      </c>
      <c r="K66" s="2">
        <f>SUM(K67:K71)</f>
        <v>0</v>
      </c>
      <c r="L66" s="2">
        <f>SUM(L67:L71)</f>
        <v>0</v>
      </c>
      <c r="M66" s="19"/>
      <c r="AI66" s="8"/>
      <c r="AS66" s="2">
        <f>SUM(AJ67:AJ71)</f>
        <v>0</v>
      </c>
      <c r="AT66" s="2">
        <f>SUM(AK67:AK71)</f>
        <v>0</v>
      </c>
      <c r="AU66" s="2">
        <f>SUM(AL67:AL71)</f>
        <v>0</v>
      </c>
    </row>
    <row r="67" spans="1:64" ht="15" customHeight="1">
      <c r="A67" s="20" t="s">
        <v>188</v>
      </c>
      <c r="B67" s="3" t="s">
        <v>189</v>
      </c>
      <c r="C67" s="60" t="s">
        <v>190</v>
      </c>
      <c r="D67" s="60"/>
      <c r="E67" s="60"/>
      <c r="F67" s="60"/>
      <c r="G67" s="3" t="s">
        <v>73</v>
      </c>
      <c r="H67" s="21">
        <v>19</v>
      </c>
      <c r="I67" s="21">
        <v>0</v>
      </c>
      <c r="J67" s="21">
        <f>H67*AO67</f>
        <v>0</v>
      </c>
      <c r="K67" s="21">
        <f>H67*AP67</f>
        <v>0</v>
      </c>
      <c r="L67" s="21">
        <f>H67*I67</f>
        <v>0</v>
      </c>
      <c r="M67" s="22" t="s">
        <v>51</v>
      </c>
      <c r="Z67" s="21">
        <f>IF(AQ67="5",BJ67,0)</f>
        <v>0</v>
      </c>
      <c r="AB67" s="21">
        <f>IF(AQ67="1",BH67,0)</f>
        <v>0</v>
      </c>
      <c r="AC67" s="21">
        <f>IF(AQ67="1",BI67,0)</f>
        <v>0</v>
      </c>
      <c r="AD67" s="21">
        <f>IF(AQ67="7",BH67,0)</f>
        <v>0</v>
      </c>
      <c r="AE67" s="21">
        <f>IF(AQ67="7",BI67,0)</f>
        <v>0</v>
      </c>
      <c r="AF67" s="21">
        <f>IF(AQ67="2",BH67,0)</f>
        <v>0</v>
      </c>
      <c r="AG67" s="21">
        <f>IF(AQ67="2",BI67,0)</f>
        <v>0</v>
      </c>
      <c r="AH67" s="21">
        <f>IF(AQ67="0",BJ67,0)</f>
        <v>0</v>
      </c>
      <c r="AI67" s="8"/>
      <c r="AJ67" s="21">
        <f>IF(AN67=0,L67,0)</f>
        <v>0</v>
      </c>
      <c r="AK67" s="21">
        <f>IF(AN67=15,L67,0)</f>
        <v>0</v>
      </c>
      <c r="AL67" s="21">
        <f>IF(AN67=21,L67,0)</f>
        <v>0</v>
      </c>
      <c r="AN67" s="21">
        <v>21</v>
      </c>
      <c r="AO67" s="21">
        <f>I67*0.44558207426017</f>
        <v>0</v>
      </c>
      <c r="AP67" s="21">
        <f>I67*(1-0.44558207426017)</f>
        <v>0</v>
      </c>
      <c r="AQ67" s="23" t="s">
        <v>47</v>
      </c>
      <c r="AV67" s="21">
        <f>AW67+AX67</f>
        <v>0</v>
      </c>
      <c r="AW67" s="21">
        <f>H67*AO67</f>
        <v>0</v>
      </c>
      <c r="AX67" s="21">
        <f>H67*AP67</f>
        <v>0</v>
      </c>
      <c r="AY67" s="23" t="s">
        <v>191</v>
      </c>
      <c r="AZ67" s="23" t="s">
        <v>192</v>
      </c>
      <c r="BA67" s="8" t="s">
        <v>54</v>
      </c>
      <c r="BC67" s="21">
        <f>AW67+AX67</f>
        <v>0</v>
      </c>
      <c r="BD67" s="21">
        <f>I67/(100-BE67)*100</f>
        <v>0</v>
      </c>
      <c r="BE67" s="21">
        <v>0</v>
      </c>
      <c r="BF67" s="21">
        <f>67</f>
        <v>67</v>
      </c>
      <c r="BH67" s="21">
        <f>H67*AO67</f>
        <v>0</v>
      </c>
      <c r="BI67" s="21">
        <f>H67*AP67</f>
        <v>0</v>
      </c>
      <c r="BJ67" s="21">
        <f>H67*I67</f>
        <v>0</v>
      </c>
      <c r="BK67" s="21"/>
      <c r="BL67" s="21">
        <v>63</v>
      </c>
    </row>
    <row r="68" spans="1:13" ht="13.5" customHeight="1">
      <c r="A68" s="24"/>
      <c r="B68" s="25" t="s">
        <v>55</v>
      </c>
      <c r="C68" s="66" t="s">
        <v>193</v>
      </c>
      <c r="D68" s="66"/>
      <c r="E68" s="66"/>
      <c r="F68" s="66"/>
      <c r="G68" s="66"/>
      <c r="H68" s="66"/>
      <c r="I68" s="66"/>
      <c r="J68" s="66"/>
      <c r="K68" s="66"/>
      <c r="L68" s="66"/>
      <c r="M68" s="66"/>
    </row>
    <row r="69" spans="1:64" ht="15" customHeight="1">
      <c r="A69" s="20" t="s">
        <v>164</v>
      </c>
      <c r="B69" s="3" t="s">
        <v>194</v>
      </c>
      <c r="C69" s="60" t="s">
        <v>195</v>
      </c>
      <c r="D69" s="60"/>
      <c r="E69" s="60"/>
      <c r="F69" s="60"/>
      <c r="G69" s="3" t="s">
        <v>73</v>
      </c>
      <c r="H69" s="21">
        <v>1.9</v>
      </c>
      <c r="I69" s="21">
        <v>0</v>
      </c>
      <c r="J69" s="21">
        <f>H69*AO69</f>
        <v>0</v>
      </c>
      <c r="K69" s="21">
        <f>H69*AP69</f>
        <v>0</v>
      </c>
      <c r="L69" s="21">
        <f>H69*I69</f>
        <v>0</v>
      </c>
      <c r="M69" s="22" t="s">
        <v>51</v>
      </c>
      <c r="Z69" s="21">
        <f>IF(AQ69="5",BJ69,0)</f>
        <v>0</v>
      </c>
      <c r="AB69" s="21">
        <f>IF(AQ69="1",BH69,0)</f>
        <v>0</v>
      </c>
      <c r="AC69" s="21">
        <f>IF(AQ69="1",BI69,0)</f>
        <v>0</v>
      </c>
      <c r="AD69" s="21">
        <f>IF(AQ69="7",BH69,0)</f>
        <v>0</v>
      </c>
      <c r="AE69" s="21">
        <f>IF(AQ69="7",BI69,0)</f>
        <v>0</v>
      </c>
      <c r="AF69" s="21">
        <f>IF(AQ69="2",BH69,0)</f>
        <v>0</v>
      </c>
      <c r="AG69" s="21">
        <f>IF(AQ69="2",BI69,0)</f>
        <v>0</v>
      </c>
      <c r="AH69" s="21">
        <f>IF(AQ69="0",BJ69,0)</f>
        <v>0</v>
      </c>
      <c r="AI69" s="8"/>
      <c r="AJ69" s="21">
        <f>IF(AN69=0,L69,0)</f>
        <v>0</v>
      </c>
      <c r="AK69" s="21">
        <f>IF(AN69=15,L69,0)</f>
        <v>0</v>
      </c>
      <c r="AL69" s="21">
        <f>IF(AN69=21,L69,0)</f>
        <v>0</v>
      </c>
      <c r="AN69" s="21">
        <v>21</v>
      </c>
      <c r="AO69" s="21">
        <f>I69*0.713815656565656</f>
        <v>0</v>
      </c>
      <c r="AP69" s="21">
        <f>I69*(1-0.713815656565656)</f>
        <v>0</v>
      </c>
      <c r="AQ69" s="23" t="s">
        <v>47</v>
      </c>
      <c r="AV69" s="21">
        <f>AW69+AX69</f>
        <v>0</v>
      </c>
      <c r="AW69" s="21">
        <f>H69*AO69</f>
        <v>0</v>
      </c>
      <c r="AX69" s="21">
        <f>H69*AP69</f>
        <v>0</v>
      </c>
      <c r="AY69" s="23" t="s">
        <v>191</v>
      </c>
      <c r="AZ69" s="23" t="s">
        <v>192</v>
      </c>
      <c r="BA69" s="8" t="s">
        <v>54</v>
      </c>
      <c r="BC69" s="21">
        <f>AW69+AX69</f>
        <v>0</v>
      </c>
      <c r="BD69" s="21">
        <f>I69/(100-BE69)*100</f>
        <v>0</v>
      </c>
      <c r="BE69" s="21">
        <v>0</v>
      </c>
      <c r="BF69" s="21">
        <f>69</f>
        <v>69</v>
      </c>
      <c r="BH69" s="21">
        <f>H69*AO69</f>
        <v>0</v>
      </c>
      <c r="BI69" s="21">
        <f>H69*AP69</f>
        <v>0</v>
      </c>
      <c r="BJ69" s="21">
        <f>H69*I69</f>
        <v>0</v>
      </c>
      <c r="BK69" s="21"/>
      <c r="BL69" s="21">
        <v>63</v>
      </c>
    </row>
    <row r="70" spans="1:13" ht="27" customHeight="1">
      <c r="A70" s="24"/>
      <c r="B70" s="25" t="s">
        <v>55</v>
      </c>
      <c r="C70" s="66" t="s">
        <v>196</v>
      </c>
      <c r="D70" s="66"/>
      <c r="E70" s="66"/>
      <c r="F70" s="66"/>
      <c r="G70" s="66"/>
      <c r="H70" s="66"/>
      <c r="I70" s="66"/>
      <c r="J70" s="66"/>
      <c r="K70" s="66"/>
      <c r="L70" s="66"/>
      <c r="M70" s="66"/>
    </row>
    <row r="71" spans="1:64" ht="15" customHeight="1">
      <c r="A71" s="20" t="s">
        <v>197</v>
      </c>
      <c r="B71" s="3" t="s">
        <v>198</v>
      </c>
      <c r="C71" s="60" t="s">
        <v>199</v>
      </c>
      <c r="D71" s="60"/>
      <c r="E71" s="60"/>
      <c r="F71" s="60"/>
      <c r="G71" s="3" t="s">
        <v>73</v>
      </c>
      <c r="H71" s="21">
        <v>1.8</v>
      </c>
      <c r="I71" s="21">
        <v>0</v>
      </c>
      <c r="J71" s="21">
        <f>H71*AO71</f>
        <v>0</v>
      </c>
      <c r="K71" s="21">
        <f>H71*AP71</f>
        <v>0</v>
      </c>
      <c r="L71" s="21">
        <f>H71*I71</f>
        <v>0</v>
      </c>
      <c r="M71" s="22" t="s">
        <v>51</v>
      </c>
      <c r="Z71" s="21">
        <f>IF(AQ71="5",BJ71,0)</f>
        <v>0</v>
      </c>
      <c r="AB71" s="21">
        <f>IF(AQ71="1",BH71,0)</f>
        <v>0</v>
      </c>
      <c r="AC71" s="21">
        <f>IF(AQ71="1",BI71,0)</f>
        <v>0</v>
      </c>
      <c r="AD71" s="21">
        <f>IF(AQ71="7",BH71,0)</f>
        <v>0</v>
      </c>
      <c r="AE71" s="21">
        <f>IF(AQ71="7",BI71,0)</f>
        <v>0</v>
      </c>
      <c r="AF71" s="21">
        <f>IF(AQ71="2",BH71,0)</f>
        <v>0</v>
      </c>
      <c r="AG71" s="21">
        <f>IF(AQ71="2",BI71,0)</f>
        <v>0</v>
      </c>
      <c r="AH71" s="21">
        <f>IF(AQ71="0",BJ71,0)</f>
        <v>0</v>
      </c>
      <c r="AI71" s="8"/>
      <c r="AJ71" s="21">
        <f>IF(AN71=0,L71,0)</f>
        <v>0</v>
      </c>
      <c r="AK71" s="21">
        <f>IF(AN71=15,L71,0)</f>
        <v>0</v>
      </c>
      <c r="AL71" s="21">
        <f>IF(AN71=21,L71,0)</f>
        <v>0</v>
      </c>
      <c r="AN71" s="21">
        <v>21</v>
      </c>
      <c r="AO71" s="21">
        <f>I71*0.735989583333333</f>
        <v>0</v>
      </c>
      <c r="AP71" s="21">
        <f>I71*(1-0.735989583333333)</f>
        <v>0</v>
      </c>
      <c r="AQ71" s="23" t="s">
        <v>47</v>
      </c>
      <c r="AV71" s="21">
        <f>AW71+AX71</f>
        <v>0</v>
      </c>
      <c r="AW71" s="21">
        <f>H71*AO71</f>
        <v>0</v>
      </c>
      <c r="AX71" s="21">
        <f>H71*AP71</f>
        <v>0</v>
      </c>
      <c r="AY71" s="23" t="s">
        <v>191</v>
      </c>
      <c r="AZ71" s="23" t="s">
        <v>192</v>
      </c>
      <c r="BA71" s="8" t="s">
        <v>54</v>
      </c>
      <c r="BC71" s="21">
        <f>AW71+AX71</f>
        <v>0</v>
      </c>
      <c r="BD71" s="21">
        <f>I71/(100-BE71)*100</f>
        <v>0</v>
      </c>
      <c r="BE71" s="21">
        <v>0</v>
      </c>
      <c r="BF71" s="21">
        <f>71</f>
        <v>71</v>
      </c>
      <c r="BH71" s="21">
        <f>H71*AO71</f>
        <v>0</v>
      </c>
      <c r="BI71" s="21">
        <f>H71*AP71</f>
        <v>0</v>
      </c>
      <c r="BJ71" s="21">
        <f>H71*I71</f>
        <v>0</v>
      </c>
      <c r="BK71" s="21"/>
      <c r="BL71" s="21">
        <v>63</v>
      </c>
    </row>
    <row r="72" spans="1:13" ht="27" customHeight="1">
      <c r="A72" s="24"/>
      <c r="B72" s="25" t="s">
        <v>55</v>
      </c>
      <c r="C72" s="66" t="s">
        <v>200</v>
      </c>
      <c r="D72" s="66"/>
      <c r="E72" s="66"/>
      <c r="F72" s="66"/>
      <c r="G72" s="66"/>
      <c r="H72" s="66"/>
      <c r="I72" s="66"/>
      <c r="J72" s="66"/>
      <c r="K72" s="66"/>
      <c r="L72" s="66"/>
      <c r="M72" s="66"/>
    </row>
    <row r="73" spans="1:47" ht="15" customHeight="1">
      <c r="A73" s="16"/>
      <c r="B73" s="17" t="s">
        <v>201</v>
      </c>
      <c r="C73" s="65" t="s">
        <v>202</v>
      </c>
      <c r="D73" s="65"/>
      <c r="E73" s="65"/>
      <c r="F73" s="65"/>
      <c r="G73" s="18" t="s">
        <v>4</v>
      </c>
      <c r="H73" s="18" t="s">
        <v>4</v>
      </c>
      <c r="I73" s="18" t="s">
        <v>4</v>
      </c>
      <c r="J73" s="2">
        <f>SUM(J74:J82)</f>
        <v>0</v>
      </c>
      <c r="K73" s="2">
        <f>SUM(K74:K82)</f>
        <v>0</v>
      </c>
      <c r="L73" s="2">
        <f>SUM(L74:L82)</f>
        <v>0</v>
      </c>
      <c r="M73" s="19"/>
      <c r="AI73" s="8"/>
      <c r="AS73" s="2">
        <f>SUM(AJ74:AJ82)</f>
        <v>0</v>
      </c>
      <c r="AT73" s="2">
        <f>SUM(AK74:AK82)</f>
        <v>0</v>
      </c>
      <c r="AU73" s="2">
        <f>SUM(AL74:AL82)</f>
        <v>0</v>
      </c>
    </row>
    <row r="74" spans="1:64" ht="15" customHeight="1">
      <c r="A74" s="20" t="s">
        <v>203</v>
      </c>
      <c r="B74" s="3" t="s">
        <v>204</v>
      </c>
      <c r="C74" s="60" t="s">
        <v>205</v>
      </c>
      <c r="D74" s="60"/>
      <c r="E74" s="60"/>
      <c r="F74" s="60"/>
      <c r="G74" s="3" t="s">
        <v>88</v>
      </c>
      <c r="H74" s="21">
        <v>9</v>
      </c>
      <c r="I74" s="21">
        <v>0</v>
      </c>
      <c r="J74" s="21">
        <f>H74*AO74</f>
        <v>0</v>
      </c>
      <c r="K74" s="21">
        <f>H74*AP74</f>
        <v>0</v>
      </c>
      <c r="L74" s="21">
        <f>H74*I74</f>
        <v>0</v>
      </c>
      <c r="M74" s="22" t="s">
        <v>51</v>
      </c>
      <c r="Z74" s="21">
        <f>IF(AQ74="5",BJ74,0)</f>
        <v>0</v>
      </c>
      <c r="AB74" s="21">
        <f>IF(AQ74="1",BH74,0)</f>
        <v>0</v>
      </c>
      <c r="AC74" s="21">
        <f>IF(AQ74="1",BI74,0)</f>
        <v>0</v>
      </c>
      <c r="AD74" s="21">
        <f>IF(AQ74="7",BH74,0)</f>
        <v>0</v>
      </c>
      <c r="AE74" s="21">
        <f>IF(AQ74="7",BI74,0)</f>
        <v>0</v>
      </c>
      <c r="AF74" s="21">
        <f>IF(AQ74="2",BH74,0)</f>
        <v>0</v>
      </c>
      <c r="AG74" s="21">
        <f>IF(AQ74="2",BI74,0)</f>
        <v>0</v>
      </c>
      <c r="AH74" s="21">
        <f>IF(AQ74="0",BJ74,0)</f>
        <v>0</v>
      </c>
      <c r="AI74" s="8"/>
      <c r="AJ74" s="21">
        <f>IF(AN74=0,L74,0)</f>
        <v>0</v>
      </c>
      <c r="AK74" s="21">
        <f>IF(AN74=15,L74,0)</f>
        <v>0</v>
      </c>
      <c r="AL74" s="21">
        <f>IF(AN74=21,L74,0)</f>
        <v>0</v>
      </c>
      <c r="AN74" s="21">
        <v>21</v>
      </c>
      <c r="AO74" s="21">
        <f>I74*0</f>
        <v>0</v>
      </c>
      <c r="AP74" s="21">
        <f>I74*(1-0)</f>
        <v>0</v>
      </c>
      <c r="AQ74" s="23" t="s">
        <v>80</v>
      </c>
      <c r="AV74" s="21">
        <f>AW74+AX74</f>
        <v>0</v>
      </c>
      <c r="AW74" s="21">
        <f>H74*AO74</f>
        <v>0</v>
      </c>
      <c r="AX74" s="21">
        <f>H74*AP74</f>
        <v>0</v>
      </c>
      <c r="AY74" s="23" t="s">
        <v>206</v>
      </c>
      <c r="AZ74" s="23" t="s">
        <v>207</v>
      </c>
      <c r="BA74" s="8" t="s">
        <v>54</v>
      </c>
      <c r="BC74" s="21">
        <f>AW74+AX74</f>
        <v>0</v>
      </c>
      <c r="BD74" s="21">
        <f>I74/(100-BE74)*100</f>
        <v>0</v>
      </c>
      <c r="BE74" s="21">
        <v>0</v>
      </c>
      <c r="BF74" s="21">
        <f>74</f>
        <v>74</v>
      </c>
      <c r="BH74" s="21">
        <f>H74*AO74</f>
        <v>0</v>
      </c>
      <c r="BI74" s="21">
        <f>H74*AP74</f>
        <v>0</v>
      </c>
      <c r="BJ74" s="21">
        <f>H74*I74</f>
        <v>0</v>
      </c>
      <c r="BK74" s="21"/>
      <c r="BL74" s="21">
        <v>711</v>
      </c>
    </row>
    <row r="75" spans="1:13" ht="13.5" customHeight="1">
      <c r="A75" s="24"/>
      <c r="B75" s="25" t="s">
        <v>55</v>
      </c>
      <c r="C75" s="66" t="s">
        <v>208</v>
      </c>
      <c r="D75" s="66"/>
      <c r="E75" s="66"/>
      <c r="F75" s="66"/>
      <c r="G75" s="66"/>
      <c r="H75" s="66"/>
      <c r="I75" s="66"/>
      <c r="J75" s="66"/>
      <c r="K75" s="66"/>
      <c r="L75" s="66"/>
      <c r="M75" s="66"/>
    </row>
    <row r="76" spans="1:64" ht="15" customHeight="1">
      <c r="A76" s="20" t="s">
        <v>209</v>
      </c>
      <c r="B76" s="3" t="s">
        <v>210</v>
      </c>
      <c r="C76" s="60" t="s">
        <v>211</v>
      </c>
      <c r="D76" s="60"/>
      <c r="E76" s="60"/>
      <c r="F76" s="60"/>
      <c r="G76" s="3" t="s">
        <v>88</v>
      </c>
      <c r="H76" s="21">
        <v>47.7</v>
      </c>
      <c r="I76" s="21">
        <v>0</v>
      </c>
      <c r="J76" s="21">
        <f>H76*AO76</f>
        <v>0</v>
      </c>
      <c r="K76" s="21">
        <f>H76*AP76</f>
        <v>0</v>
      </c>
      <c r="L76" s="21">
        <f>H76*I76</f>
        <v>0</v>
      </c>
      <c r="M76" s="22" t="s">
        <v>51</v>
      </c>
      <c r="Z76" s="21">
        <f>IF(AQ76="5",BJ76,0)</f>
        <v>0</v>
      </c>
      <c r="AB76" s="21">
        <f>IF(AQ76="1",BH76,0)</f>
        <v>0</v>
      </c>
      <c r="AC76" s="21">
        <f>IF(AQ76="1",BI76,0)</f>
        <v>0</v>
      </c>
      <c r="AD76" s="21">
        <f>IF(AQ76="7",BH76,0)</f>
        <v>0</v>
      </c>
      <c r="AE76" s="21">
        <f>IF(AQ76="7",BI76,0)</f>
        <v>0</v>
      </c>
      <c r="AF76" s="21">
        <f>IF(AQ76="2",BH76,0)</f>
        <v>0</v>
      </c>
      <c r="AG76" s="21">
        <f>IF(AQ76="2",BI76,0)</f>
        <v>0</v>
      </c>
      <c r="AH76" s="21">
        <f>IF(AQ76="0",BJ76,0)</f>
        <v>0</v>
      </c>
      <c r="AI76" s="8"/>
      <c r="AJ76" s="21">
        <f>IF(AN76=0,L76,0)</f>
        <v>0</v>
      </c>
      <c r="AK76" s="21">
        <f>IF(AN76=15,L76,0)</f>
        <v>0</v>
      </c>
      <c r="AL76" s="21">
        <f>IF(AN76=21,L76,0)</f>
        <v>0</v>
      </c>
      <c r="AN76" s="21">
        <v>21</v>
      </c>
      <c r="AO76" s="21">
        <f>I76*0.162569314176166</f>
        <v>0</v>
      </c>
      <c r="AP76" s="21">
        <f>I76*(1-0.162569314176166)</f>
        <v>0</v>
      </c>
      <c r="AQ76" s="23" t="s">
        <v>80</v>
      </c>
      <c r="AV76" s="21">
        <f>AW76+AX76</f>
        <v>0</v>
      </c>
      <c r="AW76" s="21">
        <f>H76*AO76</f>
        <v>0</v>
      </c>
      <c r="AX76" s="21">
        <f>H76*AP76</f>
        <v>0</v>
      </c>
      <c r="AY76" s="23" t="s">
        <v>206</v>
      </c>
      <c r="AZ76" s="23" t="s">
        <v>207</v>
      </c>
      <c r="BA76" s="8" t="s">
        <v>54</v>
      </c>
      <c r="BC76" s="21">
        <f>AW76+AX76</f>
        <v>0</v>
      </c>
      <c r="BD76" s="21">
        <f>I76/(100-BE76)*100</f>
        <v>0</v>
      </c>
      <c r="BE76" s="21">
        <v>0</v>
      </c>
      <c r="BF76" s="21">
        <f>76</f>
        <v>76</v>
      </c>
      <c r="BH76" s="21">
        <f>H76*AO76</f>
        <v>0</v>
      </c>
      <c r="BI76" s="21">
        <f>H76*AP76</f>
        <v>0</v>
      </c>
      <c r="BJ76" s="21">
        <f>H76*I76</f>
        <v>0</v>
      </c>
      <c r="BK76" s="21"/>
      <c r="BL76" s="21">
        <v>711</v>
      </c>
    </row>
    <row r="77" spans="1:13" ht="13.5" customHeight="1">
      <c r="A77" s="24"/>
      <c r="B77" s="25" t="s">
        <v>55</v>
      </c>
      <c r="C77" s="66" t="s">
        <v>212</v>
      </c>
      <c r="D77" s="66"/>
      <c r="E77" s="66"/>
      <c r="F77" s="66"/>
      <c r="G77" s="66"/>
      <c r="H77" s="66"/>
      <c r="I77" s="66"/>
      <c r="J77" s="66"/>
      <c r="K77" s="66"/>
      <c r="L77" s="66"/>
      <c r="M77" s="66"/>
    </row>
    <row r="78" spans="1:64" ht="15" customHeight="1">
      <c r="A78" s="20" t="s">
        <v>213</v>
      </c>
      <c r="B78" s="3" t="s">
        <v>214</v>
      </c>
      <c r="C78" s="60" t="s">
        <v>215</v>
      </c>
      <c r="D78" s="60"/>
      <c r="E78" s="60"/>
      <c r="F78" s="60"/>
      <c r="G78" s="3" t="s">
        <v>88</v>
      </c>
      <c r="H78" s="21">
        <v>9</v>
      </c>
      <c r="I78" s="21">
        <v>0</v>
      </c>
      <c r="J78" s="21">
        <f>H78*AO78</f>
        <v>0</v>
      </c>
      <c r="K78" s="21">
        <f>H78*AP78</f>
        <v>0</v>
      </c>
      <c r="L78" s="21">
        <f>H78*I78</f>
        <v>0</v>
      </c>
      <c r="M78" s="22" t="s">
        <v>51</v>
      </c>
      <c r="Z78" s="21">
        <f>IF(AQ78="5",BJ78,0)</f>
        <v>0</v>
      </c>
      <c r="AB78" s="21">
        <f>IF(AQ78="1",BH78,0)</f>
        <v>0</v>
      </c>
      <c r="AC78" s="21">
        <f>IF(AQ78="1",BI78,0)</f>
        <v>0</v>
      </c>
      <c r="AD78" s="21">
        <f>IF(AQ78="7",BH78,0)</f>
        <v>0</v>
      </c>
      <c r="AE78" s="21">
        <f>IF(AQ78="7",BI78,0)</f>
        <v>0</v>
      </c>
      <c r="AF78" s="21">
        <f>IF(AQ78="2",BH78,0)</f>
        <v>0</v>
      </c>
      <c r="AG78" s="21">
        <f>IF(AQ78="2",BI78,0)</f>
        <v>0</v>
      </c>
      <c r="AH78" s="21">
        <f>IF(AQ78="0",BJ78,0)</f>
        <v>0</v>
      </c>
      <c r="AI78" s="8"/>
      <c r="AJ78" s="21">
        <f>IF(AN78=0,L78,0)</f>
        <v>0</v>
      </c>
      <c r="AK78" s="21">
        <f>IF(AN78=15,L78,0)</f>
        <v>0</v>
      </c>
      <c r="AL78" s="21">
        <f>IF(AN78=21,L78,0)</f>
        <v>0</v>
      </c>
      <c r="AN78" s="21">
        <v>21</v>
      </c>
      <c r="AO78" s="21">
        <f>I78*0</f>
        <v>0</v>
      </c>
      <c r="AP78" s="21">
        <f>I78*(1-0)</f>
        <v>0</v>
      </c>
      <c r="AQ78" s="23" t="s">
        <v>80</v>
      </c>
      <c r="AV78" s="21">
        <f>AW78+AX78</f>
        <v>0</v>
      </c>
      <c r="AW78" s="21">
        <f>H78*AO78</f>
        <v>0</v>
      </c>
      <c r="AX78" s="21">
        <f>H78*AP78</f>
        <v>0</v>
      </c>
      <c r="AY78" s="23" t="s">
        <v>206</v>
      </c>
      <c r="AZ78" s="23" t="s">
        <v>207</v>
      </c>
      <c r="BA78" s="8" t="s">
        <v>54</v>
      </c>
      <c r="BC78" s="21">
        <f>AW78+AX78</f>
        <v>0</v>
      </c>
      <c r="BD78" s="21">
        <f>I78/(100-BE78)*100</f>
        <v>0</v>
      </c>
      <c r="BE78" s="21">
        <v>0</v>
      </c>
      <c r="BF78" s="21">
        <f>78</f>
        <v>78</v>
      </c>
      <c r="BH78" s="21">
        <f>H78*AO78</f>
        <v>0</v>
      </c>
      <c r="BI78" s="21">
        <f>H78*AP78</f>
        <v>0</v>
      </c>
      <c r="BJ78" s="21">
        <f>H78*I78</f>
        <v>0</v>
      </c>
      <c r="BK78" s="21"/>
      <c r="BL78" s="21">
        <v>711</v>
      </c>
    </row>
    <row r="79" spans="1:64" ht="15" customHeight="1">
      <c r="A79" s="20" t="s">
        <v>216</v>
      </c>
      <c r="B79" s="3" t="s">
        <v>217</v>
      </c>
      <c r="C79" s="60" t="s">
        <v>218</v>
      </c>
      <c r="D79" s="60"/>
      <c r="E79" s="60"/>
      <c r="F79" s="60"/>
      <c r="G79" s="3" t="s">
        <v>88</v>
      </c>
      <c r="H79" s="21">
        <v>47.7</v>
      </c>
      <c r="I79" s="21">
        <v>0</v>
      </c>
      <c r="J79" s="21">
        <f>H79*AO79</f>
        <v>0</v>
      </c>
      <c r="K79" s="21">
        <f>H79*AP79</f>
        <v>0</v>
      </c>
      <c r="L79" s="21">
        <f>H79*I79</f>
        <v>0</v>
      </c>
      <c r="M79" s="22" t="s">
        <v>51</v>
      </c>
      <c r="Z79" s="21">
        <f>IF(AQ79="5",BJ79,0)</f>
        <v>0</v>
      </c>
      <c r="AB79" s="21">
        <f>IF(AQ79="1",BH79,0)</f>
        <v>0</v>
      </c>
      <c r="AC79" s="21">
        <f>IF(AQ79="1",BI79,0)</f>
        <v>0</v>
      </c>
      <c r="AD79" s="21">
        <f>IF(AQ79="7",BH79,0)</f>
        <v>0</v>
      </c>
      <c r="AE79" s="21">
        <f>IF(AQ79="7",BI79,0)</f>
        <v>0</v>
      </c>
      <c r="AF79" s="21">
        <f>IF(AQ79="2",BH79,0)</f>
        <v>0</v>
      </c>
      <c r="AG79" s="21">
        <f>IF(AQ79="2",BI79,0)</f>
        <v>0</v>
      </c>
      <c r="AH79" s="21">
        <f>IF(AQ79="0",BJ79,0)</f>
        <v>0</v>
      </c>
      <c r="AI79" s="8"/>
      <c r="AJ79" s="21">
        <f>IF(AN79=0,L79,0)</f>
        <v>0</v>
      </c>
      <c r="AK79" s="21">
        <f>IF(AN79=15,L79,0)</f>
        <v>0</v>
      </c>
      <c r="AL79" s="21">
        <f>IF(AN79=21,L79,0)</f>
        <v>0</v>
      </c>
      <c r="AN79" s="21">
        <v>21</v>
      </c>
      <c r="AO79" s="21">
        <f>I79*0</f>
        <v>0</v>
      </c>
      <c r="AP79" s="21">
        <f>I79*(1-0)</f>
        <v>0</v>
      </c>
      <c r="AQ79" s="23" t="s">
        <v>80</v>
      </c>
      <c r="AV79" s="21">
        <f>AW79+AX79</f>
        <v>0</v>
      </c>
      <c r="AW79" s="21">
        <f>H79*AO79</f>
        <v>0</v>
      </c>
      <c r="AX79" s="21">
        <f>H79*AP79</f>
        <v>0</v>
      </c>
      <c r="AY79" s="23" t="s">
        <v>206</v>
      </c>
      <c r="AZ79" s="23" t="s">
        <v>207</v>
      </c>
      <c r="BA79" s="8" t="s">
        <v>54</v>
      </c>
      <c r="BC79" s="21">
        <f>AW79+AX79</f>
        <v>0</v>
      </c>
      <c r="BD79" s="21">
        <f>I79/(100-BE79)*100</f>
        <v>0</v>
      </c>
      <c r="BE79" s="21">
        <v>0</v>
      </c>
      <c r="BF79" s="21">
        <f>79</f>
        <v>79</v>
      </c>
      <c r="BH79" s="21">
        <f>H79*AO79</f>
        <v>0</v>
      </c>
      <c r="BI79" s="21">
        <f>H79*AP79</f>
        <v>0</v>
      </c>
      <c r="BJ79" s="21">
        <f>H79*I79</f>
        <v>0</v>
      </c>
      <c r="BK79" s="21"/>
      <c r="BL79" s="21">
        <v>711</v>
      </c>
    </row>
    <row r="80" spans="1:64" ht="15" customHeight="1">
      <c r="A80" s="20" t="s">
        <v>219</v>
      </c>
      <c r="B80" s="3" t="s">
        <v>220</v>
      </c>
      <c r="C80" s="60" t="s">
        <v>221</v>
      </c>
      <c r="D80" s="60"/>
      <c r="E80" s="60"/>
      <c r="F80" s="60"/>
      <c r="G80" s="3" t="s">
        <v>88</v>
      </c>
      <c r="H80" s="21">
        <v>36</v>
      </c>
      <c r="I80" s="21">
        <v>0</v>
      </c>
      <c r="J80" s="21">
        <f>H80*AO80</f>
        <v>0</v>
      </c>
      <c r="K80" s="21">
        <f>H80*AP80</f>
        <v>0</v>
      </c>
      <c r="L80" s="21">
        <f>H80*I80</f>
        <v>0</v>
      </c>
      <c r="M80" s="22" t="s">
        <v>51</v>
      </c>
      <c r="Z80" s="21">
        <f>IF(AQ80="5",BJ80,0)</f>
        <v>0</v>
      </c>
      <c r="AB80" s="21">
        <f>IF(AQ80="1",BH80,0)</f>
        <v>0</v>
      </c>
      <c r="AC80" s="21">
        <f>IF(AQ80="1",BI80,0)</f>
        <v>0</v>
      </c>
      <c r="AD80" s="21">
        <f>IF(AQ80="7",BH80,0)</f>
        <v>0</v>
      </c>
      <c r="AE80" s="21">
        <f>IF(AQ80="7",BI80,0)</f>
        <v>0</v>
      </c>
      <c r="AF80" s="21">
        <f>IF(AQ80="2",BH80,0)</f>
        <v>0</v>
      </c>
      <c r="AG80" s="21">
        <f>IF(AQ80="2",BI80,0)</f>
        <v>0</v>
      </c>
      <c r="AH80" s="21">
        <f>IF(AQ80="0",BJ80,0)</f>
        <v>0</v>
      </c>
      <c r="AI80" s="8"/>
      <c r="AJ80" s="21">
        <f>IF(AN80=0,L80,0)</f>
        <v>0</v>
      </c>
      <c r="AK80" s="21">
        <f>IF(AN80=15,L80,0)</f>
        <v>0</v>
      </c>
      <c r="AL80" s="21">
        <f>IF(AN80=21,L80,0)</f>
        <v>0</v>
      </c>
      <c r="AN80" s="21">
        <v>21</v>
      </c>
      <c r="AO80" s="21">
        <f>I80*0.539241192411924</f>
        <v>0</v>
      </c>
      <c r="AP80" s="21">
        <f>I80*(1-0.539241192411924)</f>
        <v>0</v>
      </c>
      <c r="AQ80" s="23" t="s">
        <v>80</v>
      </c>
      <c r="AV80" s="21">
        <f>AW80+AX80</f>
        <v>0</v>
      </c>
      <c r="AW80" s="21">
        <f>H80*AO80</f>
        <v>0</v>
      </c>
      <c r="AX80" s="21">
        <f>H80*AP80</f>
        <v>0</v>
      </c>
      <c r="AY80" s="23" t="s">
        <v>206</v>
      </c>
      <c r="AZ80" s="23" t="s">
        <v>207</v>
      </c>
      <c r="BA80" s="8" t="s">
        <v>54</v>
      </c>
      <c r="BC80" s="21">
        <f>AW80+AX80</f>
        <v>0</v>
      </c>
      <c r="BD80" s="21">
        <f>I80/(100-BE80)*100</f>
        <v>0</v>
      </c>
      <c r="BE80" s="21">
        <v>0</v>
      </c>
      <c r="BF80" s="21">
        <f>80</f>
        <v>80</v>
      </c>
      <c r="BH80" s="21">
        <f>H80*AO80</f>
        <v>0</v>
      </c>
      <c r="BI80" s="21">
        <f>H80*AP80</f>
        <v>0</v>
      </c>
      <c r="BJ80" s="21">
        <f>H80*I80</f>
        <v>0</v>
      </c>
      <c r="BK80" s="21"/>
      <c r="BL80" s="21">
        <v>711</v>
      </c>
    </row>
    <row r="81" spans="1:13" ht="13.5" customHeight="1">
      <c r="A81" s="24"/>
      <c r="B81" s="25" t="s">
        <v>55</v>
      </c>
      <c r="C81" s="66" t="s">
        <v>222</v>
      </c>
      <c r="D81" s="66"/>
      <c r="E81" s="66"/>
      <c r="F81" s="66"/>
      <c r="G81" s="66"/>
      <c r="H81" s="66"/>
      <c r="I81" s="66"/>
      <c r="J81" s="66"/>
      <c r="K81" s="66"/>
      <c r="L81" s="66"/>
      <c r="M81" s="66"/>
    </row>
    <row r="82" spans="1:64" ht="15" customHeight="1">
      <c r="A82" s="20" t="s">
        <v>223</v>
      </c>
      <c r="B82" s="3" t="s">
        <v>224</v>
      </c>
      <c r="C82" s="60" t="s">
        <v>225</v>
      </c>
      <c r="D82" s="60"/>
      <c r="E82" s="60"/>
      <c r="F82" s="60"/>
      <c r="G82" s="3" t="s">
        <v>64</v>
      </c>
      <c r="H82" s="21">
        <v>40</v>
      </c>
      <c r="I82" s="21">
        <v>0</v>
      </c>
      <c r="J82" s="21">
        <f>H82*AO82</f>
        <v>0</v>
      </c>
      <c r="K82" s="21">
        <f>H82*AP82</f>
        <v>0</v>
      </c>
      <c r="L82" s="21">
        <f>H82*I82</f>
        <v>0</v>
      </c>
      <c r="M82" s="22" t="s">
        <v>51</v>
      </c>
      <c r="Z82" s="21">
        <f>IF(AQ82="5",BJ82,0)</f>
        <v>0</v>
      </c>
      <c r="AB82" s="21">
        <f>IF(AQ82="1",BH82,0)</f>
        <v>0</v>
      </c>
      <c r="AC82" s="21">
        <f>IF(AQ82="1",BI82,0)</f>
        <v>0</v>
      </c>
      <c r="AD82" s="21">
        <f>IF(AQ82="7",BH82,0)</f>
        <v>0</v>
      </c>
      <c r="AE82" s="21">
        <f>IF(AQ82="7",BI82,0)</f>
        <v>0</v>
      </c>
      <c r="AF82" s="21">
        <f>IF(AQ82="2",BH82,0)</f>
        <v>0</v>
      </c>
      <c r="AG82" s="21">
        <f>IF(AQ82="2",BI82,0)</f>
        <v>0</v>
      </c>
      <c r="AH82" s="21">
        <f>IF(AQ82="0",BJ82,0)</f>
        <v>0</v>
      </c>
      <c r="AI82" s="8"/>
      <c r="AJ82" s="21">
        <f>IF(AN82=0,L82,0)</f>
        <v>0</v>
      </c>
      <c r="AK82" s="21">
        <f>IF(AN82=15,L82,0)</f>
        <v>0</v>
      </c>
      <c r="AL82" s="21">
        <f>IF(AN82=21,L82,0)</f>
        <v>0</v>
      </c>
      <c r="AN82" s="21">
        <v>21</v>
      </c>
      <c r="AO82" s="21">
        <f>I82*0.684688427299703</f>
        <v>0</v>
      </c>
      <c r="AP82" s="21">
        <f>I82*(1-0.684688427299703)</f>
        <v>0</v>
      </c>
      <c r="AQ82" s="23" t="s">
        <v>80</v>
      </c>
      <c r="AV82" s="21">
        <f>AW82+AX82</f>
        <v>0</v>
      </c>
      <c r="AW82" s="21">
        <f>H82*AO82</f>
        <v>0</v>
      </c>
      <c r="AX82" s="21">
        <f>H82*AP82</f>
        <v>0</v>
      </c>
      <c r="AY82" s="23" t="s">
        <v>206</v>
      </c>
      <c r="AZ82" s="23" t="s">
        <v>207</v>
      </c>
      <c r="BA82" s="8" t="s">
        <v>54</v>
      </c>
      <c r="BC82" s="21">
        <f>AW82+AX82</f>
        <v>0</v>
      </c>
      <c r="BD82" s="21">
        <f>I82/(100-BE82)*100</f>
        <v>0</v>
      </c>
      <c r="BE82" s="21">
        <v>0</v>
      </c>
      <c r="BF82" s="21">
        <f>82</f>
        <v>82</v>
      </c>
      <c r="BH82" s="21">
        <f>H82*AO82</f>
        <v>0</v>
      </c>
      <c r="BI82" s="21">
        <f>H82*AP82</f>
        <v>0</v>
      </c>
      <c r="BJ82" s="21">
        <f>H82*I82</f>
        <v>0</v>
      </c>
      <c r="BK82" s="21"/>
      <c r="BL82" s="21">
        <v>711</v>
      </c>
    </row>
    <row r="83" spans="1:13" ht="13.5" customHeight="1">
      <c r="A83" s="24"/>
      <c r="B83" s="25" t="s">
        <v>55</v>
      </c>
      <c r="C83" s="66" t="s">
        <v>226</v>
      </c>
      <c r="D83" s="66"/>
      <c r="E83" s="66"/>
      <c r="F83" s="66"/>
      <c r="G83" s="66"/>
      <c r="H83" s="66"/>
      <c r="I83" s="66"/>
      <c r="J83" s="66"/>
      <c r="K83" s="66"/>
      <c r="L83" s="66"/>
      <c r="M83" s="66"/>
    </row>
    <row r="84" spans="1:47" ht="15" customHeight="1">
      <c r="A84" s="16"/>
      <c r="B84" s="17" t="s">
        <v>227</v>
      </c>
      <c r="C84" s="65" t="s">
        <v>228</v>
      </c>
      <c r="D84" s="65"/>
      <c r="E84" s="65"/>
      <c r="F84" s="65"/>
      <c r="G84" s="18" t="s">
        <v>4</v>
      </c>
      <c r="H84" s="18" t="s">
        <v>4</v>
      </c>
      <c r="I84" s="18" t="s">
        <v>4</v>
      </c>
      <c r="J84" s="2">
        <f>SUM(J85:J87)</f>
        <v>0</v>
      </c>
      <c r="K84" s="2">
        <f>SUM(K85:K87)</f>
        <v>0</v>
      </c>
      <c r="L84" s="2">
        <f>SUM(L85:L87)</f>
        <v>0</v>
      </c>
      <c r="M84" s="19"/>
      <c r="AI84" s="8"/>
      <c r="AS84" s="2">
        <f>SUM(AJ85:AJ87)</f>
        <v>0</v>
      </c>
      <c r="AT84" s="2">
        <f>SUM(AK85:AK87)</f>
        <v>0</v>
      </c>
      <c r="AU84" s="2">
        <f>SUM(AL85:AL87)</f>
        <v>0</v>
      </c>
    </row>
    <row r="85" spans="1:64" ht="15" customHeight="1">
      <c r="A85" s="20" t="s">
        <v>229</v>
      </c>
      <c r="B85" s="3" t="s">
        <v>230</v>
      </c>
      <c r="C85" s="60" t="s">
        <v>231</v>
      </c>
      <c r="D85" s="60"/>
      <c r="E85" s="60"/>
      <c r="F85" s="60"/>
      <c r="G85" s="3" t="s">
        <v>232</v>
      </c>
      <c r="H85" s="21">
        <v>158</v>
      </c>
      <c r="I85" s="21">
        <v>0</v>
      </c>
      <c r="J85" s="21">
        <f>H85*AO85</f>
        <v>0</v>
      </c>
      <c r="K85" s="21">
        <f>H85*AP85</f>
        <v>0</v>
      </c>
      <c r="L85" s="21">
        <f>H85*I85</f>
        <v>0</v>
      </c>
      <c r="M85" s="22" t="s">
        <v>51</v>
      </c>
      <c r="Z85" s="21">
        <f>IF(AQ85="5",BJ85,0)</f>
        <v>0</v>
      </c>
      <c r="AB85" s="21">
        <f>IF(AQ85="1",BH85,0)</f>
        <v>0</v>
      </c>
      <c r="AC85" s="21">
        <f>IF(AQ85="1",BI85,0)</f>
        <v>0</v>
      </c>
      <c r="AD85" s="21">
        <f>IF(AQ85="7",BH85,0)</f>
        <v>0</v>
      </c>
      <c r="AE85" s="21">
        <f>IF(AQ85="7",BI85,0)</f>
        <v>0</v>
      </c>
      <c r="AF85" s="21">
        <f>IF(AQ85="2",BH85,0)</f>
        <v>0</v>
      </c>
      <c r="AG85" s="21">
        <f>IF(AQ85="2",BI85,0)</f>
        <v>0</v>
      </c>
      <c r="AH85" s="21">
        <f>IF(AQ85="0",BJ85,0)</f>
        <v>0</v>
      </c>
      <c r="AI85" s="8"/>
      <c r="AJ85" s="21">
        <f>IF(AN85=0,L85,0)</f>
        <v>0</v>
      </c>
      <c r="AK85" s="21">
        <f>IF(AN85=15,L85,0)</f>
        <v>0</v>
      </c>
      <c r="AL85" s="21">
        <f>IF(AN85=21,L85,0)</f>
        <v>0</v>
      </c>
      <c r="AN85" s="21">
        <v>21</v>
      </c>
      <c r="AO85" s="21">
        <f>I85*0.121259842519685</f>
        <v>0</v>
      </c>
      <c r="AP85" s="21">
        <f>I85*(1-0.121259842519685)</f>
        <v>0</v>
      </c>
      <c r="AQ85" s="23" t="s">
        <v>80</v>
      </c>
      <c r="AV85" s="21">
        <f>AW85+AX85</f>
        <v>0</v>
      </c>
      <c r="AW85" s="21">
        <f>H85*AO85</f>
        <v>0</v>
      </c>
      <c r="AX85" s="21">
        <f>H85*AP85</f>
        <v>0</v>
      </c>
      <c r="AY85" s="23" t="s">
        <v>233</v>
      </c>
      <c r="AZ85" s="23" t="s">
        <v>234</v>
      </c>
      <c r="BA85" s="8" t="s">
        <v>54</v>
      </c>
      <c r="BC85" s="21">
        <f>AW85+AX85</f>
        <v>0</v>
      </c>
      <c r="BD85" s="21">
        <f>I85/(100-BE85)*100</f>
        <v>0</v>
      </c>
      <c r="BE85" s="21">
        <v>0</v>
      </c>
      <c r="BF85" s="21">
        <f>85</f>
        <v>85</v>
      </c>
      <c r="BH85" s="21">
        <f>H85*AO85</f>
        <v>0</v>
      </c>
      <c r="BI85" s="21">
        <f>H85*AP85</f>
        <v>0</v>
      </c>
      <c r="BJ85" s="21">
        <f>H85*I85</f>
        <v>0</v>
      </c>
      <c r="BK85" s="21"/>
      <c r="BL85" s="21">
        <v>767</v>
      </c>
    </row>
    <row r="86" spans="1:13" ht="27" customHeight="1">
      <c r="A86" s="24"/>
      <c r="B86" s="25" t="s">
        <v>55</v>
      </c>
      <c r="C86" s="66" t="s">
        <v>235</v>
      </c>
      <c r="D86" s="66"/>
      <c r="E86" s="66"/>
      <c r="F86" s="66"/>
      <c r="G86" s="66"/>
      <c r="H86" s="66"/>
      <c r="I86" s="66"/>
      <c r="J86" s="66"/>
      <c r="K86" s="66"/>
      <c r="L86" s="66"/>
      <c r="M86" s="66"/>
    </row>
    <row r="87" spans="1:64" ht="15" customHeight="1">
      <c r="A87" s="20" t="s">
        <v>236</v>
      </c>
      <c r="B87" s="3" t="s">
        <v>237</v>
      </c>
      <c r="C87" s="60" t="s">
        <v>238</v>
      </c>
      <c r="D87" s="60"/>
      <c r="E87" s="60"/>
      <c r="F87" s="60"/>
      <c r="G87" s="3" t="s">
        <v>232</v>
      </c>
      <c r="H87" s="21">
        <v>225</v>
      </c>
      <c r="I87" s="21">
        <v>0</v>
      </c>
      <c r="J87" s="21">
        <f>H87*AO87</f>
        <v>0</v>
      </c>
      <c r="K87" s="21">
        <f>H87*AP87</f>
        <v>0</v>
      </c>
      <c r="L87" s="21">
        <f>H87*I87</f>
        <v>0</v>
      </c>
      <c r="M87" s="22" t="s">
        <v>51</v>
      </c>
      <c r="Z87" s="21">
        <f>IF(AQ87="5",BJ87,0)</f>
        <v>0</v>
      </c>
      <c r="AB87" s="21">
        <f>IF(AQ87="1",BH87,0)</f>
        <v>0</v>
      </c>
      <c r="AC87" s="21">
        <f>IF(AQ87="1",BI87,0)</f>
        <v>0</v>
      </c>
      <c r="AD87" s="21">
        <f>IF(AQ87="7",BH87,0)</f>
        <v>0</v>
      </c>
      <c r="AE87" s="21">
        <f>IF(AQ87="7",BI87,0)</f>
        <v>0</v>
      </c>
      <c r="AF87" s="21">
        <f>IF(AQ87="2",BH87,0)</f>
        <v>0</v>
      </c>
      <c r="AG87" s="21">
        <f>IF(AQ87="2",BI87,0)</f>
        <v>0</v>
      </c>
      <c r="AH87" s="21">
        <f>IF(AQ87="0",BJ87,0)</f>
        <v>0</v>
      </c>
      <c r="AI87" s="8"/>
      <c r="AJ87" s="21">
        <f>IF(AN87=0,L87,0)</f>
        <v>0</v>
      </c>
      <c r="AK87" s="21">
        <f>IF(AN87=15,L87,0)</f>
        <v>0</v>
      </c>
      <c r="AL87" s="21">
        <f>IF(AN87=21,L87,0)</f>
        <v>0</v>
      </c>
      <c r="AN87" s="21">
        <v>21</v>
      </c>
      <c r="AO87" s="21">
        <f>I87*0.192234548335975</f>
        <v>0</v>
      </c>
      <c r="AP87" s="21">
        <f>I87*(1-0.192234548335975)</f>
        <v>0</v>
      </c>
      <c r="AQ87" s="23" t="s">
        <v>80</v>
      </c>
      <c r="AV87" s="21">
        <f>AW87+AX87</f>
        <v>0</v>
      </c>
      <c r="AW87" s="21">
        <f>H87*AO87</f>
        <v>0</v>
      </c>
      <c r="AX87" s="21">
        <f>H87*AP87</f>
        <v>0</v>
      </c>
      <c r="AY87" s="23" t="s">
        <v>233</v>
      </c>
      <c r="AZ87" s="23" t="s">
        <v>234</v>
      </c>
      <c r="BA87" s="8" t="s">
        <v>54</v>
      </c>
      <c r="BC87" s="21">
        <f>AW87+AX87</f>
        <v>0</v>
      </c>
      <c r="BD87" s="21">
        <f>I87/(100-BE87)*100</f>
        <v>0</v>
      </c>
      <c r="BE87" s="21">
        <v>0</v>
      </c>
      <c r="BF87" s="21">
        <f>87</f>
        <v>87</v>
      </c>
      <c r="BH87" s="21">
        <f>H87*AO87</f>
        <v>0</v>
      </c>
      <c r="BI87" s="21">
        <f>H87*AP87</f>
        <v>0</v>
      </c>
      <c r="BJ87" s="21">
        <f>H87*I87</f>
        <v>0</v>
      </c>
      <c r="BK87" s="21"/>
      <c r="BL87" s="21">
        <v>767</v>
      </c>
    </row>
    <row r="88" spans="1:13" ht="13.5" customHeight="1">
      <c r="A88" s="24"/>
      <c r="B88" s="25" t="s">
        <v>55</v>
      </c>
      <c r="C88" s="66" t="s">
        <v>239</v>
      </c>
      <c r="D88" s="66"/>
      <c r="E88" s="66"/>
      <c r="F88" s="66"/>
      <c r="G88" s="66"/>
      <c r="H88" s="66"/>
      <c r="I88" s="66"/>
      <c r="J88" s="66"/>
      <c r="K88" s="66"/>
      <c r="L88" s="66"/>
      <c r="M88" s="66"/>
    </row>
    <row r="89" spans="1:47" ht="15" customHeight="1">
      <c r="A89" s="16"/>
      <c r="B89" s="17" t="s">
        <v>240</v>
      </c>
      <c r="C89" s="65" t="s">
        <v>241</v>
      </c>
      <c r="D89" s="65"/>
      <c r="E89" s="65"/>
      <c r="F89" s="65"/>
      <c r="G89" s="18" t="s">
        <v>4</v>
      </c>
      <c r="H89" s="18" t="s">
        <v>4</v>
      </c>
      <c r="I89" s="18" t="s">
        <v>4</v>
      </c>
      <c r="J89" s="2">
        <f>SUM(J90:J90)</f>
        <v>0</v>
      </c>
      <c r="K89" s="2">
        <f>SUM(K90:K90)</f>
        <v>0</v>
      </c>
      <c r="L89" s="2">
        <f>SUM(L90:L90)</f>
        <v>0</v>
      </c>
      <c r="M89" s="19"/>
      <c r="AI89" s="8"/>
      <c r="AS89" s="2">
        <f>SUM(AJ90:AJ90)</f>
        <v>0</v>
      </c>
      <c r="AT89" s="2">
        <f>SUM(AK90:AK90)</f>
        <v>0</v>
      </c>
      <c r="AU89" s="2">
        <f>SUM(AL90:AL90)</f>
        <v>0</v>
      </c>
    </row>
    <row r="90" spans="1:64" ht="15" customHeight="1">
      <c r="A90" s="20" t="s">
        <v>242</v>
      </c>
      <c r="B90" s="3" t="s">
        <v>243</v>
      </c>
      <c r="C90" s="60" t="s">
        <v>244</v>
      </c>
      <c r="D90" s="60"/>
      <c r="E90" s="60"/>
      <c r="F90" s="60"/>
      <c r="G90" s="3" t="s">
        <v>88</v>
      </c>
      <c r="H90" s="21">
        <v>26.7</v>
      </c>
      <c r="I90" s="21">
        <v>0</v>
      </c>
      <c r="J90" s="21">
        <f>H90*AO90</f>
        <v>0</v>
      </c>
      <c r="K90" s="21">
        <f>H90*AP90</f>
        <v>0</v>
      </c>
      <c r="L90" s="21">
        <f>H90*I90</f>
        <v>0</v>
      </c>
      <c r="M90" s="22" t="s">
        <v>51</v>
      </c>
      <c r="Z90" s="21">
        <f>IF(AQ90="5",BJ90,0)</f>
        <v>0</v>
      </c>
      <c r="AB90" s="21">
        <f>IF(AQ90="1",BH90,0)</f>
        <v>0</v>
      </c>
      <c r="AC90" s="21">
        <f>IF(AQ90="1",BI90,0)</f>
        <v>0</v>
      </c>
      <c r="AD90" s="21">
        <f>IF(AQ90="7",BH90,0)</f>
        <v>0</v>
      </c>
      <c r="AE90" s="21">
        <f>IF(AQ90="7",BI90,0)</f>
        <v>0</v>
      </c>
      <c r="AF90" s="21">
        <f>IF(AQ90="2",BH90,0)</f>
        <v>0</v>
      </c>
      <c r="AG90" s="21">
        <f>IF(AQ90="2",BI90,0)</f>
        <v>0</v>
      </c>
      <c r="AH90" s="21">
        <f>IF(AQ90="0",BJ90,0)</f>
        <v>0</v>
      </c>
      <c r="AI90" s="8"/>
      <c r="AJ90" s="21">
        <f>IF(AN90=0,L90,0)</f>
        <v>0</v>
      </c>
      <c r="AK90" s="21">
        <f>IF(AN90=15,L90,0)</f>
        <v>0</v>
      </c>
      <c r="AL90" s="21">
        <f>IF(AN90=21,L90,0)</f>
        <v>0</v>
      </c>
      <c r="AN90" s="21">
        <v>21</v>
      </c>
      <c r="AO90" s="21">
        <f>I90*0.191562150868843</f>
        <v>0</v>
      </c>
      <c r="AP90" s="21">
        <f>I90*(1-0.191562150868843)</f>
        <v>0</v>
      </c>
      <c r="AQ90" s="23" t="s">
        <v>80</v>
      </c>
      <c r="AV90" s="21">
        <f>AW90+AX90</f>
        <v>0</v>
      </c>
      <c r="AW90" s="21">
        <f>H90*AO90</f>
        <v>0</v>
      </c>
      <c r="AX90" s="21">
        <f>H90*AP90</f>
        <v>0</v>
      </c>
      <c r="AY90" s="23" t="s">
        <v>245</v>
      </c>
      <c r="AZ90" s="23" t="s">
        <v>246</v>
      </c>
      <c r="BA90" s="8" t="s">
        <v>54</v>
      </c>
      <c r="BC90" s="21">
        <f>AW90+AX90</f>
        <v>0</v>
      </c>
      <c r="BD90" s="21">
        <f>I90/(100-BE90)*100</f>
        <v>0</v>
      </c>
      <c r="BE90" s="21">
        <v>0</v>
      </c>
      <c r="BF90" s="21">
        <f>90</f>
        <v>90</v>
      </c>
      <c r="BH90" s="21">
        <f>H90*AO90</f>
        <v>0</v>
      </c>
      <c r="BI90" s="21">
        <f>H90*AP90</f>
        <v>0</v>
      </c>
      <c r="BJ90" s="21">
        <f>H90*I90</f>
        <v>0</v>
      </c>
      <c r="BK90" s="21"/>
      <c r="BL90" s="21">
        <v>783</v>
      </c>
    </row>
    <row r="91" spans="1:13" ht="13.5" customHeight="1">
      <c r="A91" s="24"/>
      <c r="B91" s="25" t="s">
        <v>55</v>
      </c>
      <c r="C91" s="66" t="s">
        <v>247</v>
      </c>
      <c r="D91" s="66"/>
      <c r="E91" s="66"/>
      <c r="F91" s="66"/>
      <c r="G91" s="66"/>
      <c r="H91" s="66"/>
      <c r="I91" s="66"/>
      <c r="J91" s="66"/>
      <c r="K91" s="66"/>
      <c r="L91" s="66"/>
      <c r="M91" s="66"/>
    </row>
    <row r="92" spans="1:47" ht="15" customHeight="1">
      <c r="A92" s="16"/>
      <c r="B92" s="17" t="s">
        <v>248</v>
      </c>
      <c r="C92" s="65" t="s">
        <v>249</v>
      </c>
      <c r="D92" s="65"/>
      <c r="E92" s="65"/>
      <c r="F92" s="65"/>
      <c r="G92" s="18" t="s">
        <v>4</v>
      </c>
      <c r="H92" s="18" t="s">
        <v>4</v>
      </c>
      <c r="I92" s="18" t="s">
        <v>4</v>
      </c>
      <c r="J92" s="2">
        <f>SUM(J93:J95)</f>
        <v>0</v>
      </c>
      <c r="K92" s="2">
        <f>SUM(K93:K95)</f>
        <v>0</v>
      </c>
      <c r="L92" s="2">
        <f>SUM(L93:L95)</f>
        <v>0</v>
      </c>
      <c r="M92" s="19"/>
      <c r="AI92" s="8"/>
      <c r="AS92" s="2">
        <f>SUM(AJ93:AJ95)</f>
        <v>0</v>
      </c>
      <c r="AT92" s="2">
        <f>SUM(AK93:AK95)</f>
        <v>0</v>
      </c>
      <c r="AU92" s="2">
        <f>SUM(AL93:AL95)</f>
        <v>0</v>
      </c>
    </row>
    <row r="93" spans="1:64" ht="15" customHeight="1">
      <c r="A93" s="20" t="s">
        <v>250</v>
      </c>
      <c r="B93" s="3" t="s">
        <v>251</v>
      </c>
      <c r="C93" s="60" t="s">
        <v>252</v>
      </c>
      <c r="D93" s="60"/>
      <c r="E93" s="60"/>
      <c r="F93" s="60"/>
      <c r="G93" s="3" t="s">
        <v>73</v>
      </c>
      <c r="H93" s="21">
        <v>6.25</v>
      </c>
      <c r="I93" s="21">
        <v>0</v>
      </c>
      <c r="J93" s="21">
        <f>H93*AO93</f>
        <v>0</v>
      </c>
      <c r="K93" s="21">
        <f>H93*AP93</f>
        <v>0</v>
      </c>
      <c r="L93" s="21">
        <f>H93*I93</f>
        <v>0</v>
      </c>
      <c r="M93" s="22" t="s">
        <v>51</v>
      </c>
      <c r="Z93" s="21">
        <f>IF(AQ93="5",BJ93,0)</f>
        <v>0</v>
      </c>
      <c r="AB93" s="21">
        <f>IF(AQ93="1",BH93,0)</f>
        <v>0</v>
      </c>
      <c r="AC93" s="21">
        <f>IF(AQ93="1",BI93,0)</f>
        <v>0</v>
      </c>
      <c r="AD93" s="21">
        <f>IF(AQ93="7",BH93,0)</f>
        <v>0</v>
      </c>
      <c r="AE93" s="21">
        <f>IF(AQ93="7",BI93,0)</f>
        <v>0</v>
      </c>
      <c r="AF93" s="21">
        <f>IF(AQ93="2",BH93,0)</f>
        <v>0</v>
      </c>
      <c r="AG93" s="21">
        <f>IF(AQ93="2",BI93,0)</f>
        <v>0</v>
      </c>
      <c r="AH93" s="21">
        <f>IF(AQ93="0",BJ93,0)</f>
        <v>0</v>
      </c>
      <c r="AI93" s="8"/>
      <c r="AJ93" s="21">
        <f>IF(AN93=0,L93,0)</f>
        <v>0</v>
      </c>
      <c r="AK93" s="21">
        <f>IF(AN93=15,L93,0)</f>
        <v>0</v>
      </c>
      <c r="AL93" s="21">
        <f>IF(AN93=21,L93,0)</f>
        <v>0</v>
      </c>
      <c r="AN93" s="21">
        <v>21</v>
      </c>
      <c r="AO93" s="21">
        <f>I93*0.00299912510936133</f>
        <v>0</v>
      </c>
      <c r="AP93" s="21">
        <f>I93*(1-0.00299912510936133)</f>
        <v>0</v>
      </c>
      <c r="AQ93" s="23" t="s">
        <v>47</v>
      </c>
      <c r="AV93" s="21">
        <f>AW93+AX93</f>
        <v>0</v>
      </c>
      <c r="AW93" s="21">
        <f>H93*AO93</f>
        <v>0</v>
      </c>
      <c r="AX93" s="21">
        <f>H93*AP93</f>
        <v>0</v>
      </c>
      <c r="AY93" s="23" t="s">
        <v>253</v>
      </c>
      <c r="AZ93" s="23" t="s">
        <v>254</v>
      </c>
      <c r="BA93" s="8" t="s">
        <v>54</v>
      </c>
      <c r="BC93" s="21">
        <f>AW93+AX93</f>
        <v>0</v>
      </c>
      <c r="BD93" s="21">
        <f>I93/(100-BE93)*100</f>
        <v>0</v>
      </c>
      <c r="BE93" s="21">
        <v>0</v>
      </c>
      <c r="BF93" s="21">
        <f>93</f>
        <v>93</v>
      </c>
      <c r="BH93" s="21">
        <f>H93*AO93</f>
        <v>0</v>
      </c>
      <c r="BI93" s="21">
        <f>H93*AP93</f>
        <v>0</v>
      </c>
      <c r="BJ93" s="21">
        <f>H93*I93</f>
        <v>0</v>
      </c>
      <c r="BK93" s="21"/>
      <c r="BL93" s="21">
        <v>98</v>
      </c>
    </row>
    <row r="94" spans="1:13" ht="13.5" customHeight="1">
      <c r="A94" s="24"/>
      <c r="B94" s="25" t="s">
        <v>55</v>
      </c>
      <c r="C94" s="66" t="s">
        <v>255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</row>
    <row r="95" spans="1:64" ht="15" customHeight="1">
      <c r="A95" s="20" t="s">
        <v>256</v>
      </c>
      <c r="B95" s="3" t="s">
        <v>257</v>
      </c>
      <c r="C95" s="60" t="s">
        <v>258</v>
      </c>
      <c r="D95" s="60"/>
      <c r="E95" s="60"/>
      <c r="F95" s="60"/>
      <c r="G95" s="3" t="s">
        <v>73</v>
      </c>
      <c r="H95" s="21">
        <v>18.75</v>
      </c>
      <c r="I95" s="21">
        <v>0</v>
      </c>
      <c r="J95" s="21">
        <f>H95*AO95</f>
        <v>0</v>
      </c>
      <c r="K95" s="21">
        <f>H95*AP95</f>
        <v>0</v>
      </c>
      <c r="L95" s="21">
        <f>H95*I95</f>
        <v>0</v>
      </c>
      <c r="M95" s="22" t="s">
        <v>51</v>
      </c>
      <c r="Z95" s="21">
        <f>IF(AQ95="5",BJ95,0)</f>
        <v>0</v>
      </c>
      <c r="AB95" s="21">
        <f>IF(AQ95="1",BH95,0)</f>
        <v>0</v>
      </c>
      <c r="AC95" s="21">
        <f>IF(AQ95="1",BI95,0)</f>
        <v>0</v>
      </c>
      <c r="AD95" s="21">
        <f>IF(AQ95="7",BH95,0)</f>
        <v>0</v>
      </c>
      <c r="AE95" s="21">
        <f>IF(AQ95="7",BI95,0)</f>
        <v>0</v>
      </c>
      <c r="AF95" s="21">
        <f>IF(AQ95="2",BH95,0)</f>
        <v>0</v>
      </c>
      <c r="AG95" s="21">
        <f>IF(AQ95="2",BI95,0)</f>
        <v>0</v>
      </c>
      <c r="AH95" s="21">
        <f>IF(AQ95="0",BJ95,0)</f>
        <v>0</v>
      </c>
      <c r="AI95" s="8"/>
      <c r="AJ95" s="21">
        <f>IF(AN95=0,L95,0)</f>
        <v>0</v>
      </c>
      <c r="AK95" s="21">
        <f>IF(AN95=15,L95,0)</f>
        <v>0</v>
      </c>
      <c r="AL95" s="21">
        <f>IF(AN95=21,L95,0)</f>
        <v>0</v>
      </c>
      <c r="AN95" s="21">
        <v>21</v>
      </c>
      <c r="AO95" s="21">
        <f>I95*0.0203805349162555</f>
        <v>0</v>
      </c>
      <c r="AP95" s="21">
        <f>I95*(1-0.0203805349162555)</f>
        <v>0</v>
      </c>
      <c r="AQ95" s="23" t="s">
        <v>47</v>
      </c>
      <c r="AV95" s="21">
        <f>AW95+AX95</f>
        <v>0</v>
      </c>
      <c r="AW95" s="21">
        <f>H95*AO95</f>
        <v>0</v>
      </c>
      <c r="AX95" s="21">
        <f>H95*AP95</f>
        <v>0</v>
      </c>
      <c r="AY95" s="23" t="s">
        <v>253</v>
      </c>
      <c r="AZ95" s="23" t="s">
        <v>254</v>
      </c>
      <c r="BA95" s="8" t="s">
        <v>54</v>
      </c>
      <c r="BC95" s="21">
        <f>AW95+AX95</f>
        <v>0</v>
      </c>
      <c r="BD95" s="21">
        <f>I95/(100-BE95)*100</f>
        <v>0</v>
      </c>
      <c r="BE95" s="21">
        <v>0</v>
      </c>
      <c r="BF95" s="21">
        <f>95</f>
        <v>95</v>
      </c>
      <c r="BH95" s="21">
        <f>H95*AO95</f>
        <v>0</v>
      </c>
      <c r="BI95" s="21">
        <f>H95*AP95</f>
        <v>0</v>
      </c>
      <c r="BJ95" s="21">
        <f>H95*I95</f>
        <v>0</v>
      </c>
      <c r="BK95" s="21"/>
      <c r="BL95" s="21">
        <v>98</v>
      </c>
    </row>
    <row r="96" spans="1:13" ht="13.5" customHeight="1">
      <c r="A96" s="24"/>
      <c r="B96" s="25" t="s">
        <v>55</v>
      </c>
      <c r="C96" s="66" t="s">
        <v>259</v>
      </c>
      <c r="D96" s="66"/>
      <c r="E96" s="66"/>
      <c r="F96" s="66"/>
      <c r="G96" s="66"/>
      <c r="H96" s="66"/>
      <c r="I96" s="66"/>
      <c r="J96" s="66"/>
      <c r="K96" s="66"/>
      <c r="L96" s="66"/>
      <c r="M96" s="66"/>
    </row>
    <row r="97" spans="1:47" ht="15" customHeight="1">
      <c r="A97" s="16"/>
      <c r="B97" s="17" t="s">
        <v>260</v>
      </c>
      <c r="C97" s="65" t="s">
        <v>261</v>
      </c>
      <c r="D97" s="65"/>
      <c r="E97" s="65"/>
      <c r="F97" s="65"/>
      <c r="G97" s="18" t="s">
        <v>4</v>
      </c>
      <c r="H97" s="18" t="s">
        <v>4</v>
      </c>
      <c r="I97" s="18" t="s">
        <v>4</v>
      </c>
      <c r="J97" s="2">
        <f>SUM(J98:J98)</f>
        <v>0</v>
      </c>
      <c r="K97" s="2">
        <f>SUM(K98:K98)</f>
        <v>0</v>
      </c>
      <c r="L97" s="2">
        <f>SUM(L98:L98)</f>
        <v>0</v>
      </c>
      <c r="M97" s="19"/>
      <c r="AI97" s="8"/>
      <c r="AS97" s="2">
        <f>SUM(AJ98:AJ98)</f>
        <v>0</v>
      </c>
      <c r="AT97" s="2">
        <f>SUM(AK98:AK98)</f>
        <v>0</v>
      </c>
      <c r="AU97" s="2">
        <f>SUM(AL98:AL98)</f>
        <v>0</v>
      </c>
    </row>
    <row r="98" spans="1:64" ht="15" customHeight="1">
      <c r="A98" s="20" t="s">
        <v>262</v>
      </c>
      <c r="B98" s="3" t="s">
        <v>263</v>
      </c>
      <c r="C98" s="60" t="s">
        <v>264</v>
      </c>
      <c r="D98" s="60"/>
      <c r="E98" s="60"/>
      <c r="F98" s="60"/>
      <c r="G98" s="3" t="s">
        <v>134</v>
      </c>
      <c r="H98" s="21">
        <v>221.31</v>
      </c>
      <c r="I98" s="21">
        <v>0</v>
      </c>
      <c r="J98" s="21">
        <f>H98*AO98</f>
        <v>0</v>
      </c>
      <c r="K98" s="21">
        <f>H98*AP98</f>
        <v>0</v>
      </c>
      <c r="L98" s="21">
        <f>H98*I98</f>
        <v>0</v>
      </c>
      <c r="M98" s="22" t="s">
        <v>51</v>
      </c>
      <c r="Z98" s="21">
        <f>IF(AQ98="5",BJ98,0)</f>
        <v>0</v>
      </c>
      <c r="AB98" s="21">
        <f>IF(AQ98="1",BH98,0)</f>
        <v>0</v>
      </c>
      <c r="AC98" s="21">
        <f>IF(AQ98="1",BI98,0)</f>
        <v>0</v>
      </c>
      <c r="AD98" s="21">
        <f>IF(AQ98="7",BH98,0)</f>
        <v>0</v>
      </c>
      <c r="AE98" s="21">
        <f>IF(AQ98="7",BI98,0)</f>
        <v>0</v>
      </c>
      <c r="AF98" s="21">
        <f>IF(AQ98="2",BH98,0)</f>
        <v>0</v>
      </c>
      <c r="AG98" s="21">
        <f>IF(AQ98="2",BI98,0)</f>
        <v>0</v>
      </c>
      <c r="AH98" s="21">
        <f>IF(AQ98="0",BJ98,0)</f>
        <v>0</v>
      </c>
      <c r="AI98" s="8"/>
      <c r="AJ98" s="21">
        <f>IF(AN98=0,L98,0)</f>
        <v>0</v>
      </c>
      <c r="AK98" s="21">
        <f>IF(AN98=15,L98,0)</f>
        <v>0</v>
      </c>
      <c r="AL98" s="21">
        <f>IF(AN98=21,L98,0)</f>
        <v>0</v>
      </c>
      <c r="AN98" s="21">
        <v>21</v>
      </c>
      <c r="AO98" s="21">
        <f>I98*0</f>
        <v>0</v>
      </c>
      <c r="AP98" s="21">
        <f>I98*(1-0)</f>
        <v>0</v>
      </c>
      <c r="AQ98" s="23" t="s">
        <v>70</v>
      </c>
      <c r="AV98" s="21">
        <f>AW98+AX98</f>
        <v>0</v>
      </c>
      <c r="AW98" s="21">
        <f>H98*AO98</f>
        <v>0</v>
      </c>
      <c r="AX98" s="21">
        <f>H98*AP98</f>
        <v>0</v>
      </c>
      <c r="AY98" s="23" t="s">
        <v>265</v>
      </c>
      <c r="AZ98" s="23" t="s">
        <v>254</v>
      </c>
      <c r="BA98" s="8" t="s">
        <v>54</v>
      </c>
      <c r="BC98" s="21">
        <f>AW98+AX98</f>
        <v>0</v>
      </c>
      <c r="BD98" s="21">
        <f>I98/(100-BE98)*100</f>
        <v>0</v>
      </c>
      <c r="BE98" s="21">
        <v>0</v>
      </c>
      <c r="BF98" s="21">
        <f>98</f>
        <v>98</v>
      </c>
      <c r="BH98" s="21">
        <f>H98*AO98</f>
        <v>0</v>
      </c>
      <c r="BI98" s="21">
        <f>H98*AP98</f>
        <v>0</v>
      </c>
      <c r="BJ98" s="21">
        <f>H98*I98</f>
        <v>0</v>
      </c>
      <c r="BK98" s="21"/>
      <c r="BL98" s="21"/>
    </row>
    <row r="99" spans="1:47" ht="15" customHeight="1">
      <c r="A99" s="16"/>
      <c r="B99" s="17" t="s">
        <v>266</v>
      </c>
      <c r="C99" s="65" t="s">
        <v>267</v>
      </c>
      <c r="D99" s="65"/>
      <c r="E99" s="65"/>
      <c r="F99" s="65"/>
      <c r="G99" s="18" t="s">
        <v>4</v>
      </c>
      <c r="H99" s="18" t="s">
        <v>4</v>
      </c>
      <c r="I99" s="18" t="s">
        <v>4</v>
      </c>
      <c r="J99" s="2">
        <f>SUM(J100:J102)</f>
        <v>0</v>
      </c>
      <c r="K99" s="2">
        <f>SUM(K100:K102)</f>
        <v>0</v>
      </c>
      <c r="L99" s="2">
        <f>SUM(L100:L102)</f>
        <v>0</v>
      </c>
      <c r="M99" s="19"/>
      <c r="AI99" s="8"/>
      <c r="AS99" s="2">
        <f>SUM(AJ100:AJ102)</f>
        <v>0</v>
      </c>
      <c r="AT99" s="2">
        <f>SUM(AK100:AK102)</f>
        <v>0</v>
      </c>
      <c r="AU99" s="2">
        <f>SUM(AL100:AL102)</f>
        <v>0</v>
      </c>
    </row>
    <row r="100" spans="1:64" ht="15" customHeight="1">
      <c r="A100" s="20" t="s">
        <v>268</v>
      </c>
      <c r="B100" s="3" t="s">
        <v>269</v>
      </c>
      <c r="C100" s="60" t="s">
        <v>270</v>
      </c>
      <c r="D100" s="60"/>
      <c r="E100" s="60"/>
      <c r="F100" s="60"/>
      <c r="G100" s="3" t="s">
        <v>134</v>
      </c>
      <c r="H100" s="21">
        <v>60.25</v>
      </c>
      <c r="I100" s="21">
        <v>0</v>
      </c>
      <c r="J100" s="21">
        <f>H100*AO100</f>
        <v>0</v>
      </c>
      <c r="K100" s="21">
        <f>H100*AP100</f>
        <v>0</v>
      </c>
      <c r="L100" s="21">
        <f>H100*I100</f>
        <v>0</v>
      </c>
      <c r="M100" s="22" t="s">
        <v>51</v>
      </c>
      <c r="Z100" s="21">
        <f>IF(AQ100="5",BJ100,0)</f>
        <v>0</v>
      </c>
      <c r="AB100" s="21">
        <f>IF(AQ100="1",BH100,0)</f>
        <v>0</v>
      </c>
      <c r="AC100" s="21">
        <f>IF(AQ100="1",BI100,0)</f>
        <v>0</v>
      </c>
      <c r="AD100" s="21">
        <f>IF(AQ100="7",BH100,0)</f>
        <v>0</v>
      </c>
      <c r="AE100" s="21">
        <f>IF(AQ100="7",BI100,0)</f>
        <v>0</v>
      </c>
      <c r="AF100" s="21">
        <f>IF(AQ100="2",BH100,0)</f>
        <v>0</v>
      </c>
      <c r="AG100" s="21">
        <f>IF(AQ100="2",BI100,0)</f>
        <v>0</v>
      </c>
      <c r="AH100" s="21">
        <f>IF(AQ100="0",BJ100,0)</f>
        <v>0</v>
      </c>
      <c r="AI100" s="8"/>
      <c r="AJ100" s="21">
        <f>IF(AN100=0,L100,0)</f>
        <v>0</v>
      </c>
      <c r="AK100" s="21">
        <f>IF(AN100=15,L100,0)</f>
        <v>0</v>
      </c>
      <c r="AL100" s="21">
        <f>IF(AN100=21,L100,0)</f>
        <v>0</v>
      </c>
      <c r="AN100" s="21">
        <v>21</v>
      </c>
      <c r="AO100" s="21">
        <f>I100*0</f>
        <v>0</v>
      </c>
      <c r="AP100" s="21">
        <f>I100*(1-0)</f>
        <v>0</v>
      </c>
      <c r="AQ100" s="23" t="s">
        <v>70</v>
      </c>
      <c r="AV100" s="21">
        <f>AW100+AX100</f>
        <v>0</v>
      </c>
      <c r="AW100" s="21">
        <f>H100*AO100</f>
        <v>0</v>
      </c>
      <c r="AX100" s="21">
        <f>H100*AP100</f>
        <v>0</v>
      </c>
      <c r="AY100" s="23" t="s">
        <v>271</v>
      </c>
      <c r="AZ100" s="23" t="s">
        <v>254</v>
      </c>
      <c r="BA100" s="8" t="s">
        <v>54</v>
      </c>
      <c r="BC100" s="21">
        <f>AW100+AX100</f>
        <v>0</v>
      </c>
      <c r="BD100" s="21">
        <f>I100/(100-BE100)*100</f>
        <v>0</v>
      </c>
      <c r="BE100" s="21">
        <v>0</v>
      </c>
      <c r="BF100" s="21">
        <f>100</f>
        <v>100</v>
      </c>
      <c r="BH100" s="21">
        <f>H100*AO100</f>
        <v>0</v>
      </c>
      <c r="BI100" s="21">
        <f>H100*AP100</f>
        <v>0</v>
      </c>
      <c r="BJ100" s="21">
        <f>H100*I100</f>
        <v>0</v>
      </c>
      <c r="BK100" s="21"/>
      <c r="BL100" s="21"/>
    </row>
    <row r="101" spans="1:64" ht="15" customHeight="1">
      <c r="A101" s="20" t="s">
        <v>272</v>
      </c>
      <c r="B101" s="26" t="s">
        <v>273</v>
      </c>
      <c r="C101" s="60" t="s">
        <v>274</v>
      </c>
      <c r="D101" s="60"/>
      <c r="E101" s="60"/>
      <c r="F101" s="60"/>
      <c r="G101" s="3" t="s">
        <v>134</v>
      </c>
      <c r="H101" s="21">
        <v>60.25</v>
      </c>
      <c r="I101" s="21">
        <v>0</v>
      </c>
      <c r="J101" s="21">
        <f>H101*AO101</f>
        <v>0</v>
      </c>
      <c r="K101" s="21">
        <f>H101*AP101</f>
        <v>0</v>
      </c>
      <c r="L101" s="21">
        <f>H101*I101</f>
        <v>0</v>
      </c>
      <c r="M101" s="22" t="s">
        <v>51</v>
      </c>
      <c r="Z101" s="21">
        <f>IF(AQ101="5",BJ101,0)</f>
        <v>0</v>
      </c>
      <c r="AB101" s="21">
        <f>IF(AQ101="1",BH101,0)</f>
        <v>0</v>
      </c>
      <c r="AC101" s="21">
        <f>IF(AQ101="1",BI101,0)</f>
        <v>0</v>
      </c>
      <c r="AD101" s="21">
        <f>IF(AQ101="7",BH101,0)</f>
        <v>0</v>
      </c>
      <c r="AE101" s="21">
        <f>IF(AQ101="7",BI101,0)</f>
        <v>0</v>
      </c>
      <c r="AF101" s="21">
        <f>IF(AQ101="2",BH101,0)</f>
        <v>0</v>
      </c>
      <c r="AG101" s="21">
        <f>IF(AQ101="2",BI101,0)</f>
        <v>0</v>
      </c>
      <c r="AH101" s="21">
        <f>IF(AQ101="0",BJ101,0)</f>
        <v>0</v>
      </c>
      <c r="AI101" s="8"/>
      <c r="AJ101" s="21">
        <f>IF(AN101=0,L101,0)</f>
        <v>0</v>
      </c>
      <c r="AK101" s="21">
        <f>IF(AN101=15,L101,0)</f>
        <v>0</v>
      </c>
      <c r="AL101" s="21">
        <f>IF(AN101=21,L101,0)</f>
        <v>0</v>
      </c>
      <c r="AN101" s="21">
        <v>21</v>
      </c>
      <c r="AO101" s="21">
        <f>I101*0.010145041290967</f>
        <v>0</v>
      </c>
      <c r="AP101" s="21">
        <f>I101*(1-0.010145041290967)</f>
        <v>0</v>
      </c>
      <c r="AQ101" s="23" t="s">
        <v>70</v>
      </c>
      <c r="AV101" s="21">
        <f>AW101+AX101</f>
        <v>0</v>
      </c>
      <c r="AW101" s="21">
        <f>H101*AO101</f>
        <v>0</v>
      </c>
      <c r="AX101" s="21">
        <f>H101*AP101</f>
        <v>0</v>
      </c>
      <c r="AY101" s="23" t="s">
        <v>271</v>
      </c>
      <c r="AZ101" s="23" t="s">
        <v>254</v>
      </c>
      <c r="BA101" s="8" t="s">
        <v>54</v>
      </c>
      <c r="BC101" s="21">
        <f>AW101+AX101</f>
        <v>0</v>
      </c>
      <c r="BD101" s="21">
        <f>I101/(100-BE101)*100</f>
        <v>0</v>
      </c>
      <c r="BE101" s="21">
        <v>0</v>
      </c>
      <c r="BF101" s="21">
        <f>101</f>
        <v>101</v>
      </c>
      <c r="BH101" s="21">
        <f>H101*AO101</f>
        <v>0</v>
      </c>
      <c r="BI101" s="21">
        <f>H101*AP101</f>
        <v>0</v>
      </c>
      <c r="BJ101" s="21">
        <f>H101*I101</f>
        <v>0</v>
      </c>
      <c r="BK101" s="21"/>
      <c r="BL101" s="21"/>
    </row>
    <row r="102" spans="1:64" ht="15" customHeight="1">
      <c r="A102" s="28" t="s">
        <v>275</v>
      </c>
      <c r="B102" s="29" t="s">
        <v>276</v>
      </c>
      <c r="C102" s="67" t="s">
        <v>277</v>
      </c>
      <c r="D102" s="67"/>
      <c r="E102" s="67"/>
      <c r="F102" s="67"/>
      <c r="G102" s="29" t="s">
        <v>134</v>
      </c>
      <c r="H102" s="30">
        <v>60.25</v>
      </c>
      <c r="I102" s="30">
        <v>0</v>
      </c>
      <c r="J102" s="30">
        <f>H102*AO102</f>
        <v>0</v>
      </c>
      <c r="K102" s="30">
        <f>H102*AP102</f>
        <v>0</v>
      </c>
      <c r="L102" s="30">
        <f>H102*I102</f>
        <v>0</v>
      </c>
      <c r="M102" s="31" t="s">
        <v>51</v>
      </c>
      <c r="Z102" s="21">
        <f>IF(AQ102="5",BJ102,0)</f>
        <v>0</v>
      </c>
      <c r="AB102" s="21">
        <f>IF(AQ102="1",BH102,0)</f>
        <v>0</v>
      </c>
      <c r="AC102" s="21">
        <f>IF(AQ102="1",BI102,0)</f>
        <v>0</v>
      </c>
      <c r="AD102" s="21">
        <f>IF(AQ102="7",BH102,0)</f>
        <v>0</v>
      </c>
      <c r="AE102" s="21">
        <f>IF(AQ102="7",BI102,0)</f>
        <v>0</v>
      </c>
      <c r="AF102" s="21">
        <f>IF(AQ102="2",BH102,0)</f>
        <v>0</v>
      </c>
      <c r="AG102" s="21">
        <f>IF(AQ102="2",BI102,0)</f>
        <v>0</v>
      </c>
      <c r="AH102" s="21">
        <f>IF(AQ102="0",BJ102,0)</f>
        <v>0</v>
      </c>
      <c r="AI102" s="8"/>
      <c r="AJ102" s="21">
        <f>IF(AN102=0,L102,0)</f>
        <v>0</v>
      </c>
      <c r="AK102" s="21">
        <f>IF(AN102=15,L102,0)</f>
        <v>0</v>
      </c>
      <c r="AL102" s="21">
        <f>IF(AN102=21,L102,0)</f>
        <v>0</v>
      </c>
      <c r="AN102" s="21">
        <v>21</v>
      </c>
      <c r="AO102" s="21">
        <f>I102*0</f>
        <v>0</v>
      </c>
      <c r="AP102" s="21">
        <f>I102*(1-0)</f>
        <v>0</v>
      </c>
      <c r="AQ102" s="23" t="s">
        <v>70</v>
      </c>
      <c r="AV102" s="21">
        <f>AW102+AX102</f>
        <v>0</v>
      </c>
      <c r="AW102" s="21">
        <f>H102*AO102</f>
        <v>0</v>
      </c>
      <c r="AX102" s="21">
        <f>H102*AP102</f>
        <v>0</v>
      </c>
      <c r="AY102" s="23" t="s">
        <v>271</v>
      </c>
      <c r="AZ102" s="23" t="s">
        <v>254</v>
      </c>
      <c r="BA102" s="8" t="s">
        <v>54</v>
      </c>
      <c r="BC102" s="21">
        <f>AW102+AX102</f>
        <v>0</v>
      </c>
      <c r="BD102" s="21">
        <f>I102/(100-BE102)*100</f>
        <v>0</v>
      </c>
      <c r="BE102" s="21">
        <v>0</v>
      </c>
      <c r="BF102" s="21">
        <f>102</f>
        <v>102</v>
      </c>
      <c r="BH102" s="21">
        <f>H102*AO102</f>
        <v>0</v>
      </c>
      <c r="BI102" s="21">
        <f>H102*AP102</f>
        <v>0</v>
      </c>
      <c r="BJ102" s="21">
        <f>H102*I102</f>
        <v>0</v>
      </c>
      <c r="BK102" s="21"/>
      <c r="BL102" s="21"/>
    </row>
    <row r="103" spans="10:12" ht="15" customHeight="1">
      <c r="J103" s="68" t="s">
        <v>278</v>
      </c>
      <c r="K103" s="68"/>
      <c r="L103" s="33">
        <f>L12+L18+L24+L30+L38+L42+L44+L46+L51+L54+L57+L66+L73+L84+L89+L92+L97+L99</f>
        <v>0</v>
      </c>
    </row>
    <row r="104" ht="15" customHeight="1">
      <c r="A104" s="34" t="s">
        <v>55</v>
      </c>
    </row>
    <row r="105" spans="1:13" ht="12.75" customHeight="1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</row>
  </sheetData>
  <sheetProtection selectLockedCells="1" selectUnlockedCells="1"/>
  <mergeCells count="121">
    <mergeCell ref="C99:F99"/>
    <mergeCell ref="C100:F100"/>
    <mergeCell ref="C101:F101"/>
    <mergeCell ref="C102:F102"/>
    <mergeCell ref="J103:K103"/>
    <mergeCell ref="A105:M105"/>
    <mergeCell ref="C93:F93"/>
    <mergeCell ref="C94:M94"/>
    <mergeCell ref="C95:F95"/>
    <mergeCell ref="C96:M96"/>
    <mergeCell ref="C97:F97"/>
    <mergeCell ref="C98:F98"/>
    <mergeCell ref="C87:F87"/>
    <mergeCell ref="C88:M88"/>
    <mergeCell ref="C89:F89"/>
    <mergeCell ref="C90:F90"/>
    <mergeCell ref="C91:M91"/>
    <mergeCell ref="C92:F92"/>
    <mergeCell ref="C81:M81"/>
    <mergeCell ref="C82:F82"/>
    <mergeCell ref="C83:M83"/>
    <mergeCell ref="C84:F84"/>
    <mergeCell ref="C85:F85"/>
    <mergeCell ref="C86:M86"/>
    <mergeCell ref="C75:M75"/>
    <mergeCell ref="C76:F76"/>
    <mergeCell ref="C77:M77"/>
    <mergeCell ref="C78:F78"/>
    <mergeCell ref="C79:F79"/>
    <mergeCell ref="C80:F80"/>
    <mergeCell ref="C69:F69"/>
    <mergeCell ref="C70:M70"/>
    <mergeCell ref="C71:F71"/>
    <mergeCell ref="C72:M72"/>
    <mergeCell ref="C73:F73"/>
    <mergeCell ref="C74:F74"/>
    <mergeCell ref="C63:M63"/>
    <mergeCell ref="C64:F64"/>
    <mergeCell ref="C65:F65"/>
    <mergeCell ref="C66:F66"/>
    <mergeCell ref="C67:F67"/>
    <mergeCell ref="C68:M68"/>
    <mergeCell ref="C57:F57"/>
    <mergeCell ref="C58:F58"/>
    <mergeCell ref="C59:M59"/>
    <mergeCell ref="C60:F60"/>
    <mergeCell ref="C61:M61"/>
    <mergeCell ref="C62:F62"/>
    <mergeCell ref="C51:F51"/>
    <mergeCell ref="C52:F52"/>
    <mergeCell ref="C53:M53"/>
    <mergeCell ref="C54:F54"/>
    <mergeCell ref="C55:F55"/>
    <mergeCell ref="C56:M56"/>
    <mergeCell ref="C45:F45"/>
    <mergeCell ref="C46:F46"/>
    <mergeCell ref="C47:F47"/>
    <mergeCell ref="C48:M48"/>
    <mergeCell ref="C49:F49"/>
    <mergeCell ref="C50:F50"/>
    <mergeCell ref="C39:F39"/>
    <mergeCell ref="C40:F40"/>
    <mergeCell ref="C41:F41"/>
    <mergeCell ref="C42:F42"/>
    <mergeCell ref="C43:F43"/>
    <mergeCell ref="C44:F44"/>
    <mergeCell ref="C33:M33"/>
    <mergeCell ref="C34:F34"/>
    <mergeCell ref="C35:F35"/>
    <mergeCell ref="C36:F36"/>
    <mergeCell ref="C37:M37"/>
    <mergeCell ref="C38:F38"/>
    <mergeCell ref="C27:F27"/>
    <mergeCell ref="C28:M28"/>
    <mergeCell ref="C29:F29"/>
    <mergeCell ref="C30:F30"/>
    <mergeCell ref="C31:F31"/>
    <mergeCell ref="C32:F32"/>
    <mergeCell ref="C21:F21"/>
    <mergeCell ref="C22:M22"/>
    <mergeCell ref="C23:F23"/>
    <mergeCell ref="C24:F24"/>
    <mergeCell ref="C25:F25"/>
    <mergeCell ref="C26:M26"/>
    <mergeCell ref="C15:F15"/>
    <mergeCell ref="C16:F16"/>
    <mergeCell ref="C17:F17"/>
    <mergeCell ref="C18:F18"/>
    <mergeCell ref="C19:F19"/>
    <mergeCell ref="C20:M20"/>
    <mergeCell ref="C10:F10"/>
    <mergeCell ref="J10:L10"/>
    <mergeCell ref="C11:F11"/>
    <mergeCell ref="C12:F12"/>
    <mergeCell ref="C13:F13"/>
    <mergeCell ref="C14:M14"/>
    <mergeCell ref="A8:B9"/>
    <mergeCell ref="C8:D9"/>
    <mergeCell ref="E8:F9"/>
    <mergeCell ref="G8:H9"/>
    <mergeCell ref="I8:J9"/>
    <mergeCell ref="K8:M9"/>
    <mergeCell ref="A6:B7"/>
    <mergeCell ref="C6:D7"/>
    <mergeCell ref="E6:F7"/>
    <mergeCell ref="G6:H7"/>
    <mergeCell ref="I6:J7"/>
    <mergeCell ref="K6:M7"/>
    <mergeCell ref="A4:B5"/>
    <mergeCell ref="C4:D5"/>
    <mergeCell ref="E4:F5"/>
    <mergeCell ref="G4:H5"/>
    <mergeCell ref="I4:J5"/>
    <mergeCell ref="K4:M5"/>
    <mergeCell ref="A1:M1"/>
    <mergeCell ref="A2:B3"/>
    <mergeCell ref="C2:D3"/>
    <mergeCell ref="E2:F3"/>
    <mergeCell ref="G2:H3"/>
    <mergeCell ref="I2:J3"/>
    <mergeCell ref="K2:M3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OutlineSymbols="0" zoomScalePageLayoutView="0" workbookViewId="0" topLeftCell="A1">
      <pane ySplit="11" topLeftCell="A12" activePane="bottomLeft" state="frozen"/>
      <selection pane="topLeft" activeCell="A1" sqref="A1"/>
      <selection pane="bottomLeft" activeCell="E8" sqref="E8"/>
    </sheetView>
  </sheetViews>
  <sheetFormatPr defaultColWidth="17" defaultRowHeight="15" customHeight="1"/>
  <cols>
    <col min="1" max="2" width="9.59765625" style="1" customWidth="1"/>
    <col min="3" max="3" width="80" style="1" customWidth="1"/>
    <col min="4" max="4" width="13.59765625" style="1" customWidth="1"/>
    <col min="5" max="7" width="31.19921875" style="1" customWidth="1"/>
    <col min="8" max="9" width="17" style="1" hidden="1" customWidth="1"/>
  </cols>
  <sheetData>
    <row r="1" spans="1:7" ht="54.75" customHeight="1">
      <c r="A1" s="52" t="s">
        <v>279</v>
      </c>
      <c r="B1" s="52"/>
      <c r="C1" s="52"/>
      <c r="D1" s="52"/>
      <c r="E1" s="52"/>
      <c r="F1" s="52"/>
      <c r="G1" s="52"/>
    </row>
    <row r="2" spans="1:7" ht="15" customHeight="1">
      <c r="A2" s="53" t="s">
        <v>1</v>
      </c>
      <c r="B2" s="53"/>
      <c r="C2" s="54" t="str">
        <f>'Stavební rozpočet'!C2</f>
        <v>Opěrná zeď na pozemku parc.č.3063 u domu čp.831, ul. Riegrova ve FM-Místku</v>
      </c>
      <c r="D2" s="55" t="s">
        <v>3</v>
      </c>
      <c r="E2" s="55" t="s">
        <v>4</v>
      </c>
      <c r="F2" s="56" t="s">
        <v>5</v>
      </c>
      <c r="G2" s="69" t="str">
        <f>'Stavební rozpočet'!K2</f>
        <v> </v>
      </c>
    </row>
    <row r="3" spans="1:7" ht="15" customHeight="1">
      <c r="A3" s="53"/>
      <c r="B3" s="53"/>
      <c r="C3" s="54"/>
      <c r="D3" s="55"/>
      <c r="E3" s="55"/>
      <c r="F3" s="55"/>
      <c r="G3" s="69"/>
    </row>
    <row r="4" spans="1:7" ht="15" customHeight="1">
      <c r="A4" s="58" t="s">
        <v>7</v>
      </c>
      <c r="B4" s="58"/>
      <c r="C4" s="59" t="str">
        <f>'Stavební rozpočet'!C4</f>
        <v>OPĚRNÁ ZEĎ  S OPLOCENÍM</v>
      </c>
      <c r="D4" s="60" t="s">
        <v>9</v>
      </c>
      <c r="E4" s="60" t="s">
        <v>4</v>
      </c>
      <c r="F4" s="59" t="s">
        <v>10</v>
      </c>
      <c r="G4" s="70" t="str">
        <f>'Stavební rozpočet'!K4</f>
        <v> </v>
      </c>
    </row>
    <row r="5" spans="1:7" ht="15" customHeight="1">
      <c r="A5" s="58"/>
      <c r="B5" s="58"/>
      <c r="C5" s="59"/>
      <c r="D5" s="59"/>
      <c r="E5" s="59"/>
      <c r="F5" s="59"/>
      <c r="G5" s="70"/>
    </row>
    <row r="6" spans="1:7" ht="15" customHeight="1">
      <c r="A6" s="58" t="s">
        <v>11</v>
      </c>
      <c r="B6" s="58"/>
      <c r="C6" s="59" t="str">
        <f>'Stavební rozpočet'!C6</f>
        <v> </v>
      </c>
      <c r="D6" s="60" t="s">
        <v>12</v>
      </c>
      <c r="E6" s="60" t="s">
        <v>4</v>
      </c>
      <c r="F6" s="59" t="s">
        <v>13</v>
      </c>
      <c r="G6" s="70" t="str">
        <f>'Stavební rozpočet'!K6</f>
        <v> </v>
      </c>
    </row>
    <row r="7" spans="1:7" ht="15" customHeight="1">
      <c r="A7" s="58"/>
      <c r="B7" s="58"/>
      <c r="C7" s="59"/>
      <c r="D7" s="59"/>
      <c r="E7" s="59"/>
      <c r="F7" s="59"/>
      <c r="G7" s="70"/>
    </row>
    <row r="8" spans="1:7" ht="15" customHeight="1">
      <c r="A8" s="58" t="s">
        <v>16</v>
      </c>
      <c r="B8" s="58"/>
      <c r="C8" s="59" t="str">
        <f>'Stavební rozpočet'!K8</f>
        <v> </v>
      </c>
      <c r="D8" s="67" t="s">
        <v>15</v>
      </c>
      <c r="E8" s="60" t="s">
        <v>4</v>
      </c>
      <c r="F8" s="60" t="s">
        <v>15</v>
      </c>
      <c r="G8" s="70" t="str">
        <f>'Stavební rozpočet'!G8</f>
        <v> </v>
      </c>
    </row>
    <row r="9" spans="1:7" ht="15" customHeight="1">
      <c r="A9" s="58"/>
      <c r="B9" s="58"/>
      <c r="C9" s="59"/>
      <c r="D9" s="67"/>
      <c r="E9" s="60"/>
      <c r="F9" s="60"/>
      <c r="G9" s="70"/>
    </row>
    <row r="10" spans="1:7" ht="15" customHeight="1">
      <c r="A10" s="35" t="s">
        <v>280</v>
      </c>
      <c r="B10" s="36" t="s">
        <v>18</v>
      </c>
      <c r="C10" s="5" t="s">
        <v>19</v>
      </c>
      <c r="E10" s="37" t="s">
        <v>281</v>
      </c>
      <c r="F10" s="38" t="s">
        <v>282</v>
      </c>
      <c r="G10" s="38" t="s">
        <v>283</v>
      </c>
    </row>
    <row r="11" spans="1:9" ht="15" customHeight="1">
      <c r="A11" s="20"/>
      <c r="B11" s="3" t="s">
        <v>45</v>
      </c>
      <c r="C11" s="60" t="s">
        <v>46</v>
      </c>
      <c r="D11" s="60"/>
      <c r="E11" s="21">
        <f>'Stavební rozpočet'!J12</f>
        <v>0</v>
      </c>
      <c r="F11" s="21">
        <f>'Stavební rozpočet'!K12</f>
        <v>0</v>
      </c>
      <c r="G11" s="21">
        <f>'Stavební rozpočet'!L12</f>
        <v>0</v>
      </c>
      <c r="H11" s="23" t="s">
        <v>284</v>
      </c>
      <c r="I11" s="21">
        <f aca="true" t="shared" si="0" ref="I11:I28">IF(H11="F",0,G11)</f>
        <v>0</v>
      </c>
    </row>
    <row r="12" spans="1:9" ht="15" customHeight="1">
      <c r="A12" s="20"/>
      <c r="B12" s="3" t="s">
        <v>68</v>
      </c>
      <c r="C12" s="60" t="s">
        <v>69</v>
      </c>
      <c r="D12" s="60"/>
      <c r="E12" s="21">
        <f>'Stavební rozpočet'!J18</f>
        <v>0</v>
      </c>
      <c r="F12" s="21">
        <f>'Stavební rozpočet'!K18</f>
        <v>0</v>
      </c>
      <c r="G12" s="21">
        <f>'Stavební rozpočet'!L18</f>
        <v>0</v>
      </c>
      <c r="H12" s="23" t="s">
        <v>284</v>
      </c>
      <c r="I12" s="21">
        <f t="shared" si="0"/>
        <v>0</v>
      </c>
    </row>
    <row r="13" spans="1:9" ht="15" customHeight="1">
      <c r="A13" s="20"/>
      <c r="B13" s="3" t="s">
        <v>83</v>
      </c>
      <c r="C13" s="60" t="s">
        <v>84</v>
      </c>
      <c r="D13" s="60"/>
      <c r="E13" s="21">
        <f>'Stavební rozpočet'!J24</f>
        <v>0</v>
      </c>
      <c r="F13" s="21">
        <f>'Stavební rozpočet'!K24</f>
        <v>0</v>
      </c>
      <c r="G13" s="21">
        <f>'Stavební rozpočet'!L24</f>
        <v>0</v>
      </c>
      <c r="H13" s="23" t="s">
        <v>284</v>
      </c>
      <c r="I13" s="21">
        <f t="shared" si="0"/>
        <v>0</v>
      </c>
    </row>
    <row r="14" spans="1:9" ht="15" customHeight="1">
      <c r="A14" s="20"/>
      <c r="B14" s="3" t="s">
        <v>98</v>
      </c>
      <c r="C14" s="60" t="s">
        <v>99</v>
      </c>
      <c r="D14" s="60"/>
      <c r="E14" s="21">
        <f>'Stavební rozpočet'!J30</f>
        <v>0</v>
      </c>
      <c r="F14" s="21">
        <f>'Stavební rozpočet'!K30</f>
        <v>0</v>
      </c>
      <c r="G14" s="21">
        <f>'Stavební rozpočet'!L30</f>
        <v>0</v>
      </c>
      <c r="H14" s="23" t="s">
        <v>284</v>
      </c>
      <c r="I14" s="21">
        <f t="shared" si="0"/>
        <v>0</v>
      </c>
    </row>
    <row r="15" spans="1:9" ht="15" customHeight="1">
      <c r="A15" s="20"/>
      <c r="B15" s="3" t="s">
        <v>115</v>
      </c>
      <c r="C15" s="60" t="s">
        <v>116</v>
      </c>
      <c r="D15" s="60"/>
      <c r="E15" s="21">
        <f>'Stavební rozpočet'!J38</f>
        <v>0</v>
      </c>
      <c r="F15" s="21">
        <f>'Stavební rozpočet'!K38</f>
        <v>0</v>
      </c>
      <c r="G15" s="21">
        <f>'Stavební rozpočet'!L38</f>
        <v>0</v>
      </c>
      <c r="H15" s="23" t="s">
        <v>284</v>
      </c>
      <c r="I15" s="21">
        <f t="shared" si="0"/>
        <v>0</v>
      </c>
    </row>
    <row r="16" spans="1:9" ht="15" customHeight="1">
      <c r="A16" s="20"/>
      <c r="B16" s="3" t="s">
        <v>122</v>
      </c>
      <c r="C16" s="60" t="s">
        <v>125</v>
      </c>
      <c r="D16" s="60"/>
      <c r="E16" s="21">
        <f>'Stavební rozpočet'!J42</f>
        <v>0</v>
      </c>
      <c r="F16" s="21">
        <f>'Stavební rozpočet'!K42</f>
        <v>0</v>
      </c>
      <c r="G16" s="21">
        <f>'Stavební rozpočet'!L42</f>
        <v>0</v>
      </c>
      <c r="H16" s="23" t="s">
        <v>284</v>
      </c>
      <c r="I16" s="21">
        <f t="shared" si="0"/>
        <v>0</v>
      </c>
    </row>
    <row r="17" spans="1:9" ht="15" customHeight="1">
      <c r="A17" s="20"/>
      <c r="B17" s="3" t="s">
        <v>126</v>
      </c>
      <c r="C17" s="60" t="s">
        <v>130</v>
      </c>
      <c r="D17" s="60"/>
      <c r="E17" s="21">
        <f>'Stavební rozpočet'!J44</f>
        <v>0</v>
      </c>
      <c r="F17" s="21">
        <f>'Stavební rozpočet'!K44</f>
        <v>0</v>
      </c>
      <c r="G17" s="21">
        <f>'Stavební rozpočet'!L44</f>
        <v>0</v>
      </c>
      <c r="H17" s="23" t="s">
        <v>284</v>
      </c>
      <c r="I17" s="21">
        <f t="shared" si="0"/>
        <v>0</v>
      </c>
    </row>
    <row r="18" spans="1:9" ht="15" customHeight="1">
      <c r="A18" s="20"/>
      <c r="B18" s="3" t="s">
        <v>136</v>
      </c>
      <c r="C18" s="60" t="s">
        <v>137</v>
      </c>
      <c r="D18" s="60"/>
      <c r="E18" s="21">
        <f>'Stavební rozpočet'!J46</f>
        <v>0</v>
      </c>
      <c r="F18" s="21">
        <f>'Stavební rozpočet'!K46</f>
        <v>0</v>
      </c>
      <c r="G18" s="21">
        <f>'Stavební rozpočet'!L46</f>
        <v>0</v>
      </c>
      <c r="H18" s="23" t="s">
        <v>284</v>
      </c>
      <c r="I18" s="21">
        <f t="shared" si="0"/>
        <v>0</v>
      </c>
    </row>
    <row r="19" spans="1:9" ht="15" customHeight="1">
      <c r="A19" s="20"/>
      <c r="B19" s="3" t="s">
        <v>150</v>
      </c>
      <c r="C19" s="60" t="s">
        <v>151</v>
      </c>
      <c r="D19" s="60"/>
      <c r="E19" s="21">
        <f>'Stavební rozpočet'!J51</f>
        <v>0</v>
      </c>
      <c r="F19" s="21">
        <f>'Stavební rozpočet'!K51</f>
        <v>0</v>
      </c>
      <c r="G19" s="21">
        <f>'Stavební rozpočet'!L51</f>
        <v>0</v>
      </c>
      <c r="H19" s="23" t="s">
        <v>284</v>
      </c>
      <c r="I19" s="21">
        <f t="shared" si="0"/>
        <v>0</v>
      </c>
    </row>
    <row r="20" spans="1:9" ht="15" customHeight="1">
      <c r="A20" s="20"/>
      <c r="B20" s="3" t="s">
        <v>157</v>
      </c>
      <c r="C20" s="60" t="s">
        <v>158</v>
      </c>
      <c r="D20" s="60"/>
      <c r="E20" s="21">
        <f>'Stavební rozpočet'!J54</f>
        <v>0</v>
      </c>
      <c r="F20" s="21">
        <f>'Stavební rozpočet'!K54</f>
        <v>0</v>
      </c>
      <c r="G20" s="21">
        <f>'Stavební rozpočet'!L54</f>
        <v>0</v>
      </c>
      <c r="H20" s="23" t="s">
        <v>284</v>
      </c>
      <c r="I20" s="21">
        <f t="shared" si="0"/>
        <v>0</v>
      </c>
    </row>
    <row r="21" spans="1:9" ht="15" customHeight="1">
      <c r="A21" s="20"/>
      <c r="B21" s="3" t="s">
        <v>164</v>
      </c>
      <c r="C21" s="60" t="s">
        <v>165</v>
      </c>
      <c r="D21" s="60"/>
      <c r="E21" s="21">
        <f>'Stavební rozpočet'!J57</f>
        <v>0</v>
      </c>
      <c r="F21" s="21">
        <f>'Stavební rozpočet'!K57</f>
        <v>0</v>
      </c>
      <c r="G21" s="21">
        <f>'Stavební rozpočet'!L57</f>
        <v>0</v>
      </c>
      <c r="H21" s="23" t="s">
        <v>284</v>
      </c>
      <c r="I21" s="21">
        <f t="shared" si="0"/>
        <v>0</v>
      </c>
    </row>
    <row r="22" spans="1:9" ht="15" customHeight="1">
      <c r="A22" s="20"/>
      <c r="B22" s="3" t="s">
        <v>186</v>
      </c>
      <c r="C22" s="60" t="s">
        <v>187</v>
      </c>
      <c r="D22" s="60"/>
      <c r="E22" s="21">
        <f>'Stavební rozpočet'!J66</f>
        <v>0</v>
      </c>
      <c r="F22" s="21">
        <f>'Stavební rozpočet'!K66</f>
        <v>0</v>
      </c>
      <c r="G22" s="21">
        <f>'Stavební rozpočet'!L66</f>
        <v>0</v>
      </c>
      <c r="H22" s="23" t="s">
        <v>284</v>
      </c>
      <c r="I22" s="21">
        <f t="shared" si="0"/>
        <v>0</v>
      </c>
    </row>
    <row r="23" spans="1:9" ht="15" customHeight="1">
      <c r="A23" s="20"/>
      <c r="B23" s="3" t="s">
        <v>201</v>
      </c>
      <c r="C23" s="60" t="s">
        <v>202</v>
      </c>
      <c r="D23" s="60"/>
      <c r="E23" s="21">
        <f>'Stavební rozpočet'!J73</f>
        <v>0</v>
      </c>
      <c r="F23" s="21">
        <f>'Stavební rozpočet'!K73</f>
        <v>0</v>
      </c>
      <c r="G23" s="21">
        <f>'Stavební rozpočet'!L73</f>
        <v>0</v>
      </c>
      <c r="H23" s="23" t="s">
        <v>284</v>
      </c>
      <c r="I23" s="21">
        <f t="shared" si="0"/>
        <v>0</v>
      </c>
    </row>
    <row r="24" spans="1:9" ht="15" customHeight="1">
      <c r="A24" s="20"/>
      <c r="B24" s="3" t="s">
        <v>227</v>
      </c>
      <c r="C24" s="60" t="s">
        <v>228</v>
      </c>
      <c r="D24" s="60"/>
      <c r="E24" s="21">
        <f>'Stavební rozpočet'!J84</f>
        <v>0</v>
      </c>
      <c r="F24" s="21">
        <f>'Stavební rozpočet'!K84</f>
        <v>0</v>
      </c>
      <c r="G24" s="21">
        <f>'Stavební rozpočet'!L84</f>
        <v>0</v>
      </c>
      <c r="H24" s="23" t="s">
        <v>284</v>
      </c>
      <c r="I24" s="21">
        <f t="shared" si="0"/>
        <v>0</v>
      </c>
    </row>
    <row r="25" spans="1:9" ht="15" customHeight="1">
      <c r="A25" s="20"/>
      <c r="B25" s="3" t="s">
        <v>240</v>
      </c>
      <c r="C25" s="60" t="s">
        <v>241</v>
      </c>
      <c r="D25" s="60"/>
      <c r="E25" s="21">
        <f>'Stavební rozpočet'!J89</f>
        <v>0</v>
      </c>
      <c r="F25" s="21">
        <f>'Stavební rozpočet'!K89</f>
        <v>0</v>
      </c>
      <c r="G25" s="21">
        <f>'Stavební rozpočet'!L89</f>
        <v>0</v>
      </c>
      <c r="H25" s="23" t="s">
        <v>284</v>
      </c>
      <c r="I25" s="21">
        <f t="shared" si="0"/>
        <v>0</v>
      </c>
    </row>
    <row r="26" spans="1:9" ht="15" customHeight="1">
      <c r="A26" s="20"/>
      <c r="B26" s="3" t="s">
        <v>248</v>
      </c>
      <c r="C26" s="60" t="s">
        <v>249</v>
      </c>
      <c r="D26" s="60"/>
      <c r="E26" s="21">
        <f>'Stavební rozpočet'!J92</f>
        <v>0</v>
      </c>
      <c r="F26" s="21">
        <f>'Stavební rozpočet'!K92</f>
        <v>0</v>
      </c>
      <c r="G26" s="21">
        <f>'Stavební rozpočet'!L92</f>
        <v>0</v>
      </c>
      <c r="H26" s="23" t="s">
        <v>284</v>
      </c>
      <c r="I26" s="21">
        <f t="shared" si="0"/>
        <v>0</v>
      </c>
    </row>
    <row r="27" spans="1:9" ht="15" customHeight="1">
      <c r="A27" s="20"/>
      <c r="B27" s="3" t="s">
        <v>260</v>
      </c>
      <c r="C27" s="60" t="s">
        <v>261</v>
      </c>
      <c r="D27" s="60"/>
      <c r="E27" s="21">
        <f>'Stavební rozpočet'!J97</f>
        <v>0</v>
      </c>
      <c r="F27" s="21">
        <f>'Stavební rozpočet'!K97</f>
        <v>0</v>
      </c>
      <c r="G27" s="21">
        <f>'Stavební rozpočet'!L97</f>
        <v>0</v>
      </c>
      <c r="H27" s="23" t="s">
        <v>284</v>
      </c>
      <c r="I27" s="21">
        <f t="shared" si="0"/>
        <v>0</v>
      </c>
    </row>
    <row r="28" spans="1:9" ht="15" customHeight="1">
      <c r="A28" s="20"/>
      <c r="B28" s="3" t="s">
        <v>266</v>
      </c>
      <c r="C28" s="60" t="s">
        <v>267</v>
      </c>
      <c r="D28" s="60"/>
      <c r="E28" s="21">
        <f>'Stavební rozpočet'!J99</f>
        <v>0</v>
      </c>
      <c r="F28" s="21">
        <f>'Stavební rozpočet'!K99</f>
        <v>0</v>
      </c>
      <c r="G28" s="21">
        <f>'Stavební rozpočet'!L99</f>
        <v>0</v>
      </c>
      <c r="H28" s="23" t="s">
        <v>284</v>
      </c>
      <c r="I28" s="21">
        <f t="shared" si="0"/>
        <v>0</v>
      </c>
    </row>
    <row r="29" spans="6:7" ht="15" customHeight="1">
      <c r="F29" s="32" t="s">
        <v>278</v>
      </c>
      <c r="G29" s="33">
        <f>SUM(I11:I28)</f>
        <v>0</v>
      </c>
    </row>
  </sheetData>
  <sheetProtection selectLockedCells="1" selectUnlockedCells="1"/>
  <mergeCells count="43"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A8:B9"/>
    <mergeCell ref="C8:C9"/>
    <mergeCell ref="D8:D9"/>
    <mergeCell ref="E8:E9"/>
    <mergeCell ref="F8:F9"/>
    <mergeCell ref="G8:G9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4:G5"/>
    <mergeCell ref="A1:G1"/>
    <mergeCell ref="A2:B3"/>
    <mergeCell ref="C2:C3"/>
    <mergeCell ref="D2:D3"/>
    <mergeCell ref="E2:E3"/>
    <mergeCell ref="F2:F3"/>
    <mergeCell ref="G2:G3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OutlineSymbols="0" zoomScalePageLayoutView="0" workbookViewId="0" topLeftCell="A14">
      <selection activeCell="G29" sqref="G29"/>
    </sheetView>
  </sheetViews>
  <sheetFormatPr defaultColWidth="17" defaultRowHeight="15" customHeight="1"/>
  <cols>
    <col min="1" max="1" width="10.19921875" style="1" customWidth="1"/>
    <col min="2" max="2" width="14.3984375" style="1" customWidth="1"/>
    <col min="3" max="3" width="30.3984375" style="1" customWidth="1"/>
    <col min="4" max="4" width="11.19921875" style="1" customWidth="1"/>
    <col min="5" max="5" width="15.59765625" style="1" customWidth="1"/>
    <col min="6" max="6" width="30.3984375" style="1" customWidth="1"/>
    <col min="7" max="7" width="10.19921875" style="1" customWidth="1"/>
    <col min="8" max="8" width="14.3984375" style="1" customWidth="1"/>
    <col min="9" max="9" width="30.3984375" style="1" customWidth="1"/>
  </cols>
  <sheetData>
    <row r="1" spans="1:9" ht="54.75" customHeight="1">
      <c r="A1" s="71" t="s">
        <v>285</v>
      </c>
      <c r="B1" s="71"/>
      <c r="C1" s="71"/>
      <c r="D1" s="71"/>
      <c r="E1" s="71"/>
      <c r="F1" s="71"/>
      <c r="G1" s="71"/>
      <c r="H1" s="71"/>
      <c r="I1" s="71"/>
    </row>
    <row r="2" spans="1:9" ht="15" customHeight="1">
      <c r="A2" s="53" t="s">
        <v>1</v>
      </c>
      <c r="B2" s="53"/>
      <c r="C2" s="54" t="str">
        <f>'Stavební rozpočet'!C2</f>
        <v>Opěrná zeď na pozemku parc.č.3063 u domu čp.831, ul. Riegrova ve FM-Místku</v>
      </c>
      <c r="D2" s="54"/>
      <c r="E2" s="56" t="s">
        <v>5</v>
      </c>
      <c r="F2" s="56" t="str">
        <f>'Stavební rozpočet'!K2</f>
        <v> </v>
      </c>
      <c r="G2" s="56"/>
      <c r="H2" s="56" t="s">
        <v>286</v>
      </c>
      <c r="I2" s="57"/>
    </row>
    <row r="3" spans="1:9" ht="25.5" customHeight="1">
      <c r="A3" s="53"/>
      <c r="B3" s="53"/>
      <c r="C3" s="54"/>
      <c r="D3" s="54"/>
      <c r="E3" s="56"/>
      <c r="F3" s="56"/>
      <c r="G3" s="56"/>
      <c r="H3" s="56"/>
      <c r="I3" s="57"/>
    </row>
    <row r="4" spans="1:9" ht="15" customHeight="1">
      <c r="A4" s="58" t="s">
        <v>7</v>
      </c>
      <c r="B4" s="58"/>
      <c r="C4" s="59" t="str">
        <f>'Stavební rozpočet'!C4</f>
        <v>OPĚRNÁ ZEĎ  S OPLOCENÍM</v>
      </c>
      <c r="D4" s="59"/>
      <c r="E4" s="59" t="s">
        <v>10</v>
      </c>
      <c r="F4" s="59" t="str">
        <f>'Stavební rozpočet'!K4</f>
        <v> </v>
      </c>
      <c r="G4" s="59"/>
      <c r="H4" s="59" t="s">
        <v>286</v>
      </c>
      <c r="I4" s="61"/>
    </row>
    <row r="5" spans="1:9" ht="15" customHeight="1">
      <c r="A5" s="58"/>
      <c r="B5" s="58"/>
      <c r="C5" s="59"/>
      <c r="D5" s="59"/>
      <c r="E5" s="59"/>
      <c r="F5" s="59"/>
      <c r="G5" s="59"/>
      <c r="H5" s="59"/>
      <c r="I5" s="61"/>
    </row>
    <row r="6" spans="1:9" ht="15" customHeight="1">
      <c r="A6" s="58" t="s">
        <v>11</v>
      </c>
      <c r="B6" s="58"/>
      <c r="C6" s="59" t="str">
        <f>'Stavební rozpočet'!C6</f>
        <v> </v>
      </c>
      <c r="D6" s="59"/>
      <c r="E6" s="59" t="s">
        <v>13</v>
      </c>
      <c r="F6" s="59" t="str">
        <f>'Stavební rozpočet'!K6</f>
        <v> </v>
      </c>
      <c r="G6" s="59"/>
      <c r="H6" s="59" t="s">
        <v>286</v>
      </c>
      <c r="I6" s="61"/>
    </row>
    <row r="7" spans="1:9" ht="15" customHeight="1">
      <c r="A7" s="58"/>
      <c r="B7" s="58"/>
      <c r="C7" s="59"/>
      <c r="D7" s="59"/>
      <c r="E7" s="59"/>
      <c r="F7" s="59"/>
      <c r="G7" s="59"/>
      <c r="H7" s="59"/>
      <c r="I7" s="61"/>
    </row>
    <row r="8" spans="1:9" ht="15" customHeight="1">
      <c r="A8" s="58" t="s">
        <v>9</v>
      </c>
      <c r="B8" s="58"/>
      <c r="C8" s="59" t="str">
        <f>'Stavební rozpočet'!G4</f>
        <v> </v>
      </c>
      <c r="D8" s="59"/>
      <c r="E8" s="59" t="s">
        <v>12</v>
      </c>
      <c r="F8" s="59" t="str">
        <f>'Stavební rozpočet'!G6</f>
        <v> </v>
      </c>
      <c r="G8" s="59"/>
      <c r="H8" s="60" t="s">
        <v>287</v>
      </c>
      <c r="I8" s="72">
        <v>48</v>
      </c>
    </row>
    <row r="9" spans="1:9" ht="15" customHeight="1">
      <c r="A9" s="58"/>
      <c r="B9" s="58"/>
      <c r="C9" s="59"/>
      <c r="D9" s="59"/>
      <c r="E9" s="59"/>
      <c r="F9" s="59"/>
      <c r="G9" s="59"/>
      <c r="H9" s="60"/>
      <c r="I9" s="72"/>
    </row>
    <row r="10" spans="1:9" ht="15" customHeight="1">
      <c r="A10" s="73" t="s">
        <v>14</v>
      </c>
      <c r="B10" s="73"/>
      <c r="C10" s="74" t="str">
        <f>'Stavební rozpočet'!C8</f>
        <v> </v>
      </c>
      <c r="D10" s="74"/>
      <c r="E10" s="74" t="s">
        <v>16</v>
      </c>
      <c r="F10" s="74" t="str">
        <f>'Stavební rozpočet'!K8</f>
        <v> </v>
      </c>
      <c r="G10" s="74"/>
      <c r="H10" s="67" t="s">
        <v>288</v>
      </c>
      <c r="I10" s="75" t="str">
        <f>'Stavební rozpočet'!G8</f>
        <v> </v>
      </c>
    </row>
    <row r="11" spans="1:9" ht="15" customHeight="1">
      <c r="A11" s="73"/>
      <c r="B11" s="73"/>
      <c r="C11" s="74"/>
      <c r="D11" s="74"/>
      <c r="E11" s="74"/>
      <c r="F11" s="74"/>
      <c r="G11" s="74"/>
      <c r="H11" s="67"/>
      <c r="I11" s="75"/>
    </row>
    <row r="12" spans="1:9" ht="22.5" customHeight="1">
      <c r="A12" s="76" t="s">
        <v>289</v>
      </c>
      <c r="B12" s="76"/>
      <c r="C12" s="76"/>
      <c r="D12" s="76"/>
      <c r="E12" s="76"/>
      <c r="F12" s="76"/>
      <c r="G12" s="76"/>
      <c r="H12" s="76"/>
      <c r="I12" s="76"/>
    </row>
    <row r="13" spans="1:9" ht="26.25" customHeight="1">
      <c r="A13" s="39" t="s">
        <v>290</v>
      </c>
      <c r="B13" s="77" t="s">
        <v>291</v>
      </c>
      <c r="C13" s="77"/>
      <c r="D13" s="40" t="s">
        <v>292</v>
      </c>
      <c r="E13" s="77" t="s">
        <v>293</v>
      </c>
      <c r="F13" s="77"/>
      <c r="G13" s="40" t="s">
        <v>294</v>
      </c>
      <c r="H13" s="77" t="s">
        <v>295</v>
      </c>
      <c r="I13" s="77"/>
    </row>
    <row r="14" spans="1:9" ht="15" customHeight="1">
      <c r="A14" s="41" t="s">
        <v>296</v>
      </c>
      <c r="B14" s="42" t="s">
        <v>297</v>
      </c>
      <c r="C14" s="43">
        <f>SUM('Stavební rozpočet'!AB12:AB102)</f>
        <v>0</v>
      </c>
      <c r="D14" s="78" t="s">
        <v>298</v>
      </c>
      <c r="E14" s="78"/>
      <c r="F14" s="43">
        <v>0</v>
      </c>
      <c r="G14" s="79" t="s">
        <v>299</v>
      </c>
      <c r="H14" s="79"/>
      <c r="I14" s="44" t="s">
        <v>300</v>
      </c>
    </row>
    <row r="15" spans="1:9" ht="15" customHeight="1">
      <c r="A15" s="45"/>
      <c r="B15" s="42" t="s">
        <v>30</v>
      </c>
      <c r="C15" s="43">
        <f>SUM('Stavební rozpočet'!AC12:AC102)</f>
        <v>0</v>
      </c>
      <c r="D15" s="78" t="s">
        <v>301</v>
      </c>
      <c r="E15" s="78"/>
      <c r="F15" s="43">
        <v>0</v>
      </c>
      <c r="G15" s="78" t="s">
        <v>302</v>
      </c>
      <c r="H15" s="78"/>
      <c r="I15" s="44" t="s">
        <v>300</v>
      </c>
    </row>
    <row r="16" spans="1:9" ht="15" customHeight="1">
      <c r="A16" s="41" t="s">
        <v>303</v>
      </c>
      <c r="B16" s="42" t="s">
        <v>297</v>
      </c>
      <c r="C16" s="43">
        <f>SUM('Stavební rozpočet'!AD12:AD102)</f>
        <v>0</v>
      </c>
      <c r="D16" s="78" t="s">
        <v>304</v>
      </c>
      <c r="E16" s="78"/>
      <c r="F16" s="43">
        <v>0</v>
      </c>
      <c r="G16" s="78" t="s">
        <v>305</v>
      </c>
      <c r="H16" s="78"/>
      <c r="I16" s="44" t="s">
        <v>300</v>
      </c>
    </row>
    <row r="17" spans="1:9" ht="15" customHeight="1">
      <c r="A17" s="45"/>
      <c r="B17" s="42" t="s">
        <v>30</v>
      </c>
      <c r="C17" s="43">
        <f>SUM('Stavební rozpočet'!AE12:AE102)</f>
        <v>0</v>
      </c>
      <c r="D17" s="78"/>
      <c r="E17" s="78"/>
      <c r="F17" s="44"/>
      <c r="G17" s="79" t="s">
        <v>306</v>
      </c>
      <c r="H17" s="79"/>
      <c r="I17" s="44" t="s">
        <v>300</v>
      </c>
    </row>
    <row r="18" spans="1:9" ht="15" customHeight="1">
      <c r="A18" s="41" t="s">
        <v>307</v>
      </c>
      <c r="B18" s="42" t="s">
        <v>297</v>
      </c>
      <c r="C18" s="43">
        <f>SUM('Stavební rozpočet'!AF12:AF102)</f>
        <v>0</v>
      </c>
      <c r="D18" s="78"/>
      <c r="E18" s="78"/>
      <c r="F18" s="44"/>
      <c r="G18" s="79" t="s">
        <v>308</v>
      </c>
      <c r="H18" s="79"/>
      <c r="I18" s="44" t="s">
        <v>300</v>
      </c>
    </row>
    <row r="19" spans="1:9" ht="15" customHeight="1">
      <c r="A19" s="45"/>
      <c r="B19" s="42" t="s">
        <v>30</v>
      </c>
      <c r="C19" s="43">
        <f>SUM('Stavební rozpočet'!AG12:AG102)</f>
        <v>0</v>
      </c>
      <c r="D19" s="78"/>
      <c r="E19" s="78"/>
      <c r="F19" s="44"/>
      <c r="G19" s="78" t="s">
        <v>309</v>
      </c>
      <c r="H19" s="78"/>
      <c r="I19" s="44" t="s">
        <v>300</v>
      </c>
    </row>
    <row r="20" spans="1:9" ht="15" customHeight="1">
      <c r="A20" s="80" t="s">
        <v>310</v>
      </c>
      <c r="B20" s="80"/>
      <c r="C20" s="43">
        <f>SUM('Stavební rozpočet'!AH12:AH102)</f>
        <v>0</v>
      </c>
      <c r="D20" s="78"/>
      <c r="E20" s="78"/>
      <c r="F20" s="44"/>
      <c r="G20" s="78"/>
      <c r="H20" s="78"/>
      <c r="I20" s="44"/>
    </row>
    <row r="21" spans="1:9" ht="15" customHeight="1">
      <c r="A21" s="81" t="s">
        <v>311</v>
      </c>
      <c r="B21" s="81"/>
      <c r="C21" s="46">
        <f>SUM('Stavební rozpočet'!Z12:Z102)</f>
        <v>0</v>
      </c>
      <c r="D21" s="82"/>
      <c r="E21" s="82"/>
      <c r="F21" s="47"/>
      <c r="G21" s="82"/>
      <c r="H21" s="82"/>
      <c r="I21" s="47"/>
    </row>
    <row r="22" spans="1:9" ht="16.5" customHeight="1">
      <c r="A22" s="83" t="s">
        <v>312</v>
      </c>
      <c r="B22" s="83"/>
      <c r="C22" s="48">
        <f>SUM(C14:C21)</f>
        <v>0</v>
      </c>
      <c r="D22" s="84" t="s">
        <v>313</v>
      </c>
      <c r="E22" s="84"/>
      <c r="F22" s="48">
        <f>SUM(F14:F21)</f>
        <v>0</v>
      </c>
      <c r="G22" s="85" t="s">
        <v>314</v>
      </c>
      <c r="H22" s="85"/>
      <c r="I22" s="48">
        <f>SUM(I14:I21)</f>
        <v>0</v>
      </c>
    </row>
    <row r="23" spans="4:9" ht="15" customHeight="1">
      <c r="D23" s="80" t="s">
        <v>315</v>
      </c>
      <c r="E23" s="80"/>
      <c r="F23" s="49">
        <v>0</v>
      </c>
      <c r="G23" s="86" t="s">
        <v>316</v>
      </c>
      <c r="H23" s="86"/>
      <c r="I23" s="43">
        <v>0</v>
      </c>
    </row>
    <row r="24" spans="7:8" ht="15" customHeight="1">
      <c r="G24" s="80" t="s">
        <v>317</v>
      </c>
      <c r="H24" s="80"/>
    </row>
    <row r="25" spans="7:9" ht="15" customHeight="1">
      <c r="G25" s="80" t="s">
        <v>318</v>
      </c>
      <c r="H25" s="80"/>
      <c r="I25" s="48">
        <v>0</v>
      </c>
    </row>
    <row r="27" spans="1:3" ht="15" customHeight="1">
      <c r="A27" s="87" t="s">
        <v>319</v>
      </c>
      <c r="B27" s="87"/>
      <c r="C27" s="50">
        <f>SUM('Stavební rozpočet'!AJ12:AJ102)</f>
        <v>0</v>
      </c>
    </row>
    <row r="28" spans="1:9" ht="15" customHeight="1">
      <c r="A28" s="88" t="s">
        <v>320</v>
      </c>
      <c r="B28" s="88"/>
      <c r="C28" s="51">
        <f>SUM('Stavební rozpočet'!AK12:AK102)</f>
        <v>0</v>
      </c>
      <c r="D28" s="89" t="s">
        <v>321</v>
      </c>
      <c r="E28" s="89"/>
      <c r="F28" s="50">
        <f>ROUND(C28*(15/100),2)</f>
        <v>0</v>
      </c>
      <c r="G28" s="89" t="s">
        <v>322</v>
      </c>
      <c r="H28" s="89"/>
      <c r="I28" s="50">
        <f>SUM(C27:C29)</f>
        <v>0</v>
      </c>
    </row>
    <row r="29" spans="1:9" ht="15" customHeight="1">
      <c r="A29" s="90" t="s">
        <v>323</v>
      </c>
      <c r="B29" s="90"/>
      <c r="C29" s="51">
        <f>SUM('Stavební rozpočet'!AL12:AL102)+(F22+I22+F23+I23+I24+I25)</f>
        <v>0</v>
      </c>
      <c r="D29" s="91" t="s">
        <v>324</v>
      </c>
      <c r="E29" s="91"/>
      <c r="F29" s="51">
        <f>ROUND(C29*(21/100),2)</f>
        <v>0</v>
      </c>
      <c r="G29" s="91" t="s">
        <v>325</v>
      </c>
      <c r="H29" s="91"/>
      <c r="I29" s="51">
        <f>SUM(F28:F29)+I28</f>
        <v>0</v>
      </c>
    </row>
    <row r="31" spans="1:9" ht="15" customHeight="1">
      <c r="A31" s="92" t="s">
        <v>326</v>
      </c>
      <c r="B31" s="92"/>
      <c r="C31" s="92"/>
      <c r="D31" s="93" t="s">
        <v>327</v>
      </c>
      <c r="E31" s="93"/>
      <c r="F31" s="93"/>
      <c r="G31" s="93" t="s">
        <v>328</v>
      </c>
      <c r="H31" s="93"/>
      <c r="I31" s="93"/>
    </row>
    <row r="32" spans="1:9" ht="15" customHeight="1">
      <c r="A32" s="94"/>
      <c r="B32" s="94"/>
      <c r="C32" s="94"/>
      <c r="D32" s="95"/>
      <c r="E32" s="95"/>
      <c r="F32" s="95"/>
      <c r="G32" s="95"/>
      <c r="H32" s="95"/>
      <c r="I32" s="95"/>
    </row>
    <row r="33" spans="1:9" ht="15" customHeight="1">
      <c r="A33" s="94"/>
      <c r="B33" s="94"/>
      <c r="C33" s="94"/>
      <c r="D33" s="95"/>
      <c r="E33" s="95"/>
      <c r="F33" s="95"/>
      <c r="G33" s="95"/>
      <c r="H33" s="95"/>
      <c r="I33" s="95"/>
    </row>
    <row r="34" spans="1:9" ht="15" customHeight="1">
      <c r="A34" s="94"/>
      <c r="B34" s="94"/>
      <c r="C34" s="94"/>
      <c r="D34" s="95"/>
      <c r="E34" s="95"/>
      <c r="F34" s="95"/>
      <c r="G34" s="95"/>
      <c r="H34" s="95"/>
      <c r="I34" s="95"/>
    </row>
    <row r="35" spans="1:9" ht="15" customHeight="1">
      <c r="A35" s="96" t="s">
        <v>329</v>
      </c>
      <c r="B35" s="96"/>
      <c r="C35" s="96"/>
      <c r="D35" s="97" t="s">
        <v>329</v>
      </c>
      <c r="E35" s="97"/>
      <c r="F35" s="97"/>
      <c r="G35" s="97" t="s">
        <v>329</v>
      </c>
      <c r="H35" s="97"/>
      <c r="I35" s="97"/>
    </row>
    <row r="36" ht="15" customHeight="1">
      <c r="A36" s="34" t="s">
        <v>55</v>
      </c>
    </row>
    <row r="37" spans="1:9" ht="12.75" customHeight="1">
      <c r="A37" s="59"/>
      <c r="B37" s="59"/>
      <c r="C37" s="59"/>
      <c r="D37" s="59"/>
      <c r="E37" s="59"/>
      <c r="F37" s="59"/>
      <c r="G37" s="59"/>
      <c r="H37" s="59"/>
      <c r="I37" s="59"/>
    </row>
  </sheetData>
  <sheetProtection selectLockedCells="1" selectUnlockedCells="1"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39375" right="0.39375" top="0.5909722222222222" bottom="0.5909722222222222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Simona ČECHOVÁ</dc:creator>
  <cp:keywords/>
  <dc:description/>
  <cp:lastModifiedBy>Ing. Simona ČECHOVÁ</cp:lastModifiedBy>
  <dcterms:created xsi:type="dcterms:W3CDTF">2023-06-30T07:11:17Z</dcterms:created>
  <dcterms:modified xsi:type="dcterms:W3CDTF">2023-06-30T07:11:17Z</dcterms:modified>
  <cp:category/>
  <cp:version/>
  <cp:contentType/>
  <cp:contentStatus/>
</cp:coreProperties>
</file>