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60" yWindow="32760" windowWidth="20390" windowHeight="8000" tabRatio="764" activeTab="8"/>
  </bookViews>
  <sheets>
    <sheet name="Kryci list" sheetId="1" r:id="rId1"/>
    <sheet name="Info" sheetId="2" r:id="rId2"/>
    <sheet name="Spolecne vstupy" sheetId="3" r:id="rId3"/>
    <sheet name="Najemne V" sheetId="4" r:id="rId4"/>
    <sheet name="Najemne S" sheetId="5" r:id="rId5"/>
    <sheet name="Vstupy V" sheetId="6" r:id="rId6"/>
    <sheet name="Vypocty V" sheetId="7" state="hidden" r:id="rId7"/>
    <sheet name="Vystupy V" sheetId="8" r:id="rId8"/>
    <sheet name="Vstupy S" sheetId="9" r:id="rId9"/>
    <sheet name="Vypocty S" sheetId="10" state="hidden" r:id="rId10"/>
    <sheet name="Vystupy S" sheetId="11" r:id="rId11"/>
    <sheet name="Souhrn" sheetId="12" r:id="rId12"/>
    <sheet name="Slovnik" sheetId="13" state="hidden" r:id="rId13"/>
  </sheets>
  <externalReferences>
    <externalReference r:id="rId16"/>
    <externalReference r:id="rId17"/>
  </externalReferences>
  <definedNames>
    <definedName name="ac">'Souhrn'!$D$12</definedName>
    <definedName name="acc_payable_days">'Vypocty V'!$P$8</definedName>
    <definedName name="acc_receivable_days">'Vypocty V'!$N$7</definedName>
    <definedName name="bez">'Slovnik'!$G$26</definedName>
    <definedName name="clDW" localSheetId="4">'Najemne S'!$D$95</definedName>
    <definedName name="clDW">'Vstupy V'!$E$17</definedName>
    <definedName name="clWW">'Vstupy S'!$E$17</definedName>
    <definedName name="contr.life">'Spolecne vstupy'!$C$62</definedName>
    <definedName name="current">'Spolecne vstupy'!$C$6</definedName>
    <definedName name="CZ_EN">'Slovnik'!$C$1</definedName>
    <definedName name="DoPCP">'Spolecne vstupy'!$C$7</definedName>
    <definedName name="_xlnm.Print_Area" localSheetId="0">'Kryci list'!$A$1:$K$48</definedName>
    <definedName name="opm">'Spolecne vstupy'!$C$15</definedName>
    <definedName name="rate">'Spolecne vstupy'!$C$9</definedName>
    <definedName name="Slovnik">'Slovnik'!$C$4:$D$326</definedName>
    <definedName name="VAT">'Souhrn'!$H$17</definedName>
    <definedName name="vč">'Slovnik'!$G$27</definedName>
    <definedName name="waccDW">'Vstupy V'!$E$15</definedName>
    <definedName name="waccWW">'Vstupy S'!$E$15</definedName>
  </definedNames>
  <calcPr fullCalcOnLoad="1" iterate="1" iterateCount="100" iterateDelta="0.001"/>
</workbook>
</file>

<file path=xl/comments11.xml><?xml version="1.0" encoding="utf-8"?>
<comments xmlns="http://schemas.openxmlformats.org/spreadsheetml/2006/main">
  <authors>
    <author>kel47025</author>
  </authors>
  <commentList>
    <comment ref="C31" authorId="0">
      <text>
        <r>
          <rPr>
            <sz val="8"/>
            <rFont val="Tahoma"/>
            <family val="2"/>
          </rPr>
          <t>nominální odpisy ve stálých cenách</t>
        </r>
      </text>
    </comment>
  </commentList>
</comments>
</file>

<file path=xl/comments12.xml><?xml version="1.0" encoding="utf-8"?>
<comments xmlns="http://schemas.openxmlformats.org/spreadsheetml/2006/main">
  <authors>
    <author>kel47025</author>
  </authors>
  <commentList>
    <comment ref="D15" authorId="0">
      <text>
        <r>
          <rPr>
            <sz val="8"/>
            <rFont val="Tahoma"/>
            <family val="2"/>
          </rPr>
          <t>Aktualizovat hodnotu dle ČSÚ.</t>
        </r>
      </text>
    </comment>
  </commentList>
</comments>
</file>

<file path=xl/comments3.xml><?xml version="1.0" encoding="utf-8"?>
<comments xmlns="http://schemas.openxmlformats.org/spreadsheetml/2006/main">
  <authors>
    <author>kel47025</author>
  </authors>
  <commentList>
    <comment ref="G6" authorId="0">
      <text>
        <r>
          <rPr>
            <sz val="8"/>
            <rFont val="Tahoma"/>
            <family val="2"/>
          </rPr>
          <t>Poslední rok, za který jsou k dispozici auditované hodnoty.</t>
        </r>
      </text>
    </comment>
  </commentList>
</comments>
</file>

<file path=xl/comments6.xml><?xml version="1.0" encoding="utf-8"?>
<comments xmlns="http://schemas.openxmlformats.org/spreadsheetml/2006/main">
  <authors>
    <author>kel47025</author>
    <author>Tim Young</author>
  </authors>
  <commentList>
    <comment ref="E15" authorId="0">
      <text>
        <r>
          <rPr>
            <b/>
            <sz val="8"/>
            <rFont val="Tahoma"/>
            <family val="2"/>
          </rPr>
          <t>může být změněno max. +/- 1%</t>
        </r>
      </text>
    </comment>
    <comment ref="C108" authorId="0">
      <text>
        <r>
          <rPr>
            <sz val="8"/>
            <rFont val="Tahoma"/>
            <family val="2"/>
          </rPr>
          <t>Ceny je třeba vyplnit ve všech letech!</t>
        </r>
      </text>
    </comment>
    <comment ref="E70" authorId="1">
      <text>
        <r>
          <rPr>
            <sz val="9"/>
            <rFont val="Tahoma"/>
            <family val="2"/>
          </rPr>
          <t>Pokud zde má být jiná hodnota, než v buňce G70, je potřeba ji zadat ručně PO spoštění převodníku!</t>
        </r>
      </text>
    </comment>
    <comment ref="F70" authorId="1">
      <text>
        <r>
          <rPr>
            <sz val="9"/>
            <rFont val="Tahoma"/>
            <family val="2"/>
          </rPr>
          <t>Pokud zde má být jiná hodnota, než v buňce G70, je potřeba ji zadat ručně PO spuštění převodníku!</t>
        </r>
      </text>
    </comment>
  </commentList>
</comments>
</file>

<file path=xl/comments8.xml><?xml version="1.0" encoding="utf-8"?>
<comments xmlns="http://schemas.openxmlformats.org/spreadsheetml/2006/main">
  <authors>
    <author>kel47025</author>
  </authors>
  <commentList>
    <comment ref="C31" authorId="0">
      <text>
        <r>
          <rPr>
            <sz val="8"/>
            <rFont val="Tahoma"/>
            <family val="2"/>
          </rPr>
          <t>nominální odpisy ve stálých cenách</t>
        </r>
      </text>
    </comment>
  </commentList>
</comments>
</file>

<file path=xl/comments9.xml><?xml version="1.0" encoding="utf-8"?>
<comments xmlns="http://schemas.openxmlformats.org/spreadsheetml/2006/main">
  <authors>
    <author>kel47025</author>
    <author>Tim Young</author>
  </authors>
  <commentList>
    <comment ref="E15" authorId="0">
      <text>
        <r>
          <rPr>
            <b/>
            <sz val="8"/>
            <rFont val="Tahoma"/>
            <family val="2"/>
          </rPr>
          <t>může být změněno max. +/- 1%</t>
        </r>
      </text>
    </comment>
    <comment ref="C108" authorId="0">
      <text>
        <r>
          <rPr>
            <sz val="8"/>
            <rFont val="Tahoma"/>
            <family val="2"/>
          </rPr>
          <t>Ceny je třeba vyplnit ve všech letech!</t>
        </r>
      </text>
    </comment>
    <comment ref="E70" authorId="1">
      <text>
        <r>
          <rPr>
            <sz val="9"/>
            <rFont val="Tahoma"/>
            <family val="2"/>
          </rPr>
          <t>Pokud zde má být jiná hodnota, než v buňce G70, je potřeba ji zadat ručně PO spuštění převodníku!</t>
        </r>
      </text>
    </comment>
    <comment ref="F70" authorId="1">
      <text>
        <r>
          <rPr>
            <sz val="9"/>
            <rFont val="Tahoma"/>
            <family val="2"/>
          </rPr>
          <t>Pokud zde má být jiná hodnota, než v buňce G70, je potřeba ji zadat ručně PO spuštění převodníku!</t>
        </r>
      </text>
    </comment>
  </commentList>
</comments>
</file>

<file path=xl/sharedStrings.xml><?xml version="1.0" encoding="utf-8"?>
<sst xmlns="http://schemas.openxmlformats.org/spreadsheetml/2006/main" count="1043" uniqueCount="680">
  <si>
    <t>Required WACC</t>
  </si>
  <si>
    <t>INPUTS FOR DRINKING WATER</t>
  </si>
  <si>
    <t>A.</t>
  </si>
  <si>
    <t>Inputs by Owner</t>
  </si>
  <si>
    <t>year</t>
  </si>
  <si>
    <t>1st price control period</t>
  </si>
  <si>
    <t>2nd price control period</t>
  </si>
  <si>
    <t>Rent</t>
  </si>
  <si>
    <t>B.</t>
  </si>
  <si>
    <t>Inputs by Owner / Operator</t>
  </si>
  <si>
    <t>C.</t>
  </si>
  <si>
    <t>Inputs by Operator</t>
  </si>
  <si>
    <t>Initial RAB</t>
  </si>
  <si>
    <t>Infrastructure assets</t>
  </si>
  <si>
    <t>Operational assets</t>
  </si>
  <si>
    <t>thou. CZK</t>
  </si>
  <si>
    <t>Depreciation of infrastructure assets</t>
  </si>
  <si>
    <t>Depreciation of operartional assets</t>
  </si>
  <si>
    <t>Capex</t>
  </si>
  <si>
    <t>Depreciation for planned capex</t>
  </si>
  <si>
    <t>Asset disposals</t>
  </si>
  <si>
    <t>Inventory</t>
  </si>
  <si>
    <t>Opex</t>
  </si>
  <si>
    <t>1. Material</t>
  </si>
  <si>
    <t>1.1 raw water - surface and groundwater</t>
  </si>
  <si>
    <t xml:space="preserve">1.2 drinking water purchased in bulk and wastewater </t>
  </si>
  <si>
    <t>1.3 chemicals</t>
  </si>
  <si>
    <t>1.4 other material</t>
  </si>
  <si>
    <t>2. Energy</t>
  </si>
  <si>
    <t>2.1 electrical energy</t>
  </si>
  <si>
    <t>2.2 other energy (gaseous, solid and liquid fuels)</t>
  </si>
  <si>
    <t>3. Wages</t>
  </si>
  <si>
    <t>3.1 direct wages</t>
  </si>
  <si>
    <t>3.2 other staff costs</t>
  </si>
  <si>
    <t>4. Other direct costs</t>
  </si>
  <si>
    <t>4.2 repairs to infrastructural assets</t>
  </si>
  <si>
    <t>4.3 rental of infrastructural assets - historical data only!</t>
  </si>
  <si>
    <t>Total own costs excluding depreciation, rent paid to asset owner and financial costs</t>
  </si>
  <si>
    <t>Total own costs following calculation</t>
  </si>
  <si>
    <t>Corporation tax</t>
  </si>
  <si>
    <t>OUTPUTS - DRINKING WATER</t>
  </si>
  <si>
    <t>REGULATORY CAPITAL VALUE</t>
  </si>
  <si>
    <t>1.</t>
  </si>
  <si>
    <t>2.</t>
  </si>
  <si>
    <t>Regulated asset base - operational assets</t>
  </si>
  <si>
    <t>Regulated asset base - infrastructure assets</t>
  </si>
  <si>
    <t>3.</t>
  </si>
  <si>
    <t>Working capital</t>
  </si>
  <si>
    <t>4.</t>
  </si>
  <si>
    <t>5.</t>
  </si>
  <si>
    <t>Expectations</t>
  </si>
  <si>
    <t>Total RCV</t>
  </si>
  <si>
    <t>REQUIRED REVENUE</t>
  </si>
  <si>
    <t>Depreciation - nominal</t>
  </si>
  <si>
    <t>3a.</t>
  </si>
  <si>
    <t>3b.</t>
  </si>
  <si>
    <t>Depreciation adjustment for real</t>
  </si>
  <si>
    <t>Total required revenue</t>
  </si>
  <si>
    <t>Approach to tariff smoothing</t>
  </si>
  <si>
    <t xml:space="preserve">If constant increase, % annual real increase </t>
  </si>
  <si>
    <t>None</t>
  </si>
  <si>
    <t>ALLOWED REVENUE (if relevant)</t>
  </si>
  <si>
    <t>Forecast inflation</t>
  </si>
  <si>
    <t>KEY GENERAL INPUTS</t>
  </si>
  <si>
    <t>Benchmark figure for accounts receivable (days)</t>
  </si>
  <si>
    <t>Benchmark figure for accounts payable (days)</t>
  </si>
  <si>
    <t>Apportionment of operational assets to contract</t>
  </si>
  <si>
    <t>%</t>
  </si>
  <si>
    <t>Duration of Price Control Period</t>
  </si>
  <si>
    <t>User input - overriding default approach</t>
  </si>
  <si>
    <t>Adjusted value of WACC (for Operator)</t>
  </si>
  <si>
    <t>Production</t>
  </si>
  <si>
    <t>Total input water</t>
  </si>
  <si>
    <t xml:space="preserve"> - volume produced</t>
  </si>
  <si>
    <t xml:space="preserve"> - volume purchased in bulk</t>
  </si>
  <si>
    <t xml:space="preserve"> - volume sold in bulk</t>
  </si>
  <si>
    <t>Volumes supplied</t>
  </si>
  <si>
    <t>Total volume supplied</t>
  </si>
  <si>
    <t xml:space="preserve"> - households</t>
  </si>
  <si>
    <t xml:space="preserve"> - non-households</t>
  </si>
  <si>
    <t>English</t>
  </si>
  <si>
    <t>Czech</t>
  </si>
  <si>
    <t>act.</t>
  </si>
  <si>
    <t>Opening value</t>
  </si>
  <si>
    <t>Closing value</t>
  </si>
  <si>
    <t>Forecast operating costs for given contract</t>
  </si>
  <si>
    <t>Inventory employed for given service</t>
  </si>
  <si>
    <t>6.</t>
  </si>
  <si>
    <t>Constant</t>
  </si>
  <si>
    <t>Constant increase</t>
  </si>
  <si>
    <t>Adjustment for real</t>
  </si>
  <si>
    <t>Annuity</t>
  </si>
  <si>
    <t>Outstanding Expectations</t>
  </si>
  <si>
    <t>yr.</t>
  </si>
  <si>
    <t>CZK/m3</t>
  </si>
  <si>
    <t>Discounted req. rev.</t>
  </si>
  <si>
    <t>Inflation index</t>
  </si>
  <si>
    <t>Collection Rate</t>
  </si>
  <si>
    <t>Dis.receivable water production</t>
  </si>
  <si>
    <t>Index for tariff increas</t>
  </si>
  <si>
    <t>Indexed discounted receivable production</t>
  </si>
  <si>
    <t>Annual water tariff</t>
  </si>
  <si>
    <t>ZÁKLADNÍ VSTUPNÍ DATA</t>
  </si>
  <si>
    <t>Délka trvání cenové fixace</t>
  </si>
  <si>
    <t>Česky</t>
  </si>
  <si>
    <t>Base Value</t>
  </si>
  <si>
    <t>Požadované VaPNaK</t>
  </si>
  <si>
    <t>Základní hodnota</t>
  </si>
  <si>
    <t>Upravená hodnota (pro provozní společnost)</t>
  </si>
  <si>
    <t>Standardní měřítko pro pohledávky (dny)</t>
  </si>
  <si>
    <t>Standardní měřítko pro závazky (dny)</t>
  </si>
  <si>
    <t>Odhad roční inflace</t>
  </si>
  <si>
    <t>Cenový index</t>
  </si>
  <si>
    <t>rok</t>
  </si>
  <si>
    <t>Výchozí rok</t>
  </si>
  <si>
    <t>Base Year</t>
  </si>
  <si>
    <t>Inputs from off model modules</t>
  </si>
  <si>
    <t>Direct inputs</t>
  </si>
  <si>
    <t>První období cenové fixace</t>
  </si>
  <si>
    <t>Druhé období cenové fixace</t>
  </si>
  <si>
    <t>Vstupy z externích modulů</t>
  </si>
  <si>
    <t>Uživatelské vstupy - přepis předvolených hodnot</t>
  </si>
  <si>
    <t>Data outside time period of relevance</t>
  </si>
  <si>
    <t>Údaje mimo modelované období</t>
  </si>
  <si>
    <t>Přímé uživatelské vstupy</t>
  </si>
  <si>
    <t>VSTUPY PRO VODNÉ</t>
  </si>
  <si>
    <t>1. Materiál</t>
  </si>
  <si>
    <t>1.1 surová voda podzemní + povrchová</t>
  </si>
  <si>
    <t>1.2 pitná voda převzatá + odpadní voda předaná k čištění</t>
  </si>
  <si>
    <t>1.3 chemikálie</t>
  </si>
  <si>
    <t>1.4 ostatní materiál</t>
  </si>
  <si>
    <t>2. Energie</t>
  </si>
  <si>
    <t>2.1 elektrická energie</t>
  </si>
  <si>
    <t>3. Mzdy</t>
  </si>
  <si>
    <t>3.1 přímé mzdy</t>
  </si>
  <si>
    <t>3.2 ostatní osobní náklady</t>
  </si>
  <si>
    <t>4. Ostatní přímé náklady</t>
  </si>
  <si>
    <t>4.2 opravy infrastrukturního majetku</t>
  </si>
  <si>
    <t>4.3 nájem infrastrukturního majetku - pouze historické údaje!</t>
  </si>
  <si>
    <t>Celkové vlastní náklady kromě odpisů, nájemného a finančních nákladů</t>
  </si>
  <si>
    <t>Celkové vlastní náklady dle kalkulace</t>
  </si>
  <si>
    <t>Daň z příjmu právnických osob</t>
  </si>
  <si>
    <t>Provozní náklady</t>
  </si>
  <si>
    <t>Zásoby</t>
  </si>
  <si>
    <t>Provozní majetek</t>
  </si>
  <si>
    <t>Infrastrukturní majetek</t>
  </si>
  <si>
    <t>Odprodej majetku</t>
  </si>
  <si>
    <t>Zbývající předplacené nájemné</t>
  </si>
  <si>
    <t>Zbývající Očekávání</t>
  </si>
  <si>
    <t>Přidělení provozního majetku na danou službu</t>
  </si>
  <si>
    <t>Zbývající délka smlouvy</t>
  </si>
  <si>
    <t>Remaining contract life</t>
  </si>
  <si>
    <t>Vstupy vlastníka</t>
  </si>
  <si>
    <t>Nájemné</t>
  </si>
  <si>
    <t>Voda k realizaci</t>
  </si>
  <si>
    <t>Objem vody dodané</t>
  </si>
  <si>
    <t>Objem vody dodané - celkem</t>
  </si>
  <si>
    <t>Úspěšnost výběru pohledávek</t>
  </si>
  <si>
    <t>Investiční náklady</t>
  </si>
  <si>
    <t>Odpisy plánovaných investic</t>
  </si>
  <si>
    <t>Vstupní ReHoM</t>
  </si>
  <si>
    <t>Odpisy infrastrukturního majetku</t>
  </si>
  <si>
    <t>Odpisy provozního majetku</t>
  </si>
  <si>
    <t xml:space="preserve"> - objem vody vyrobené</t>
  </si>
  <si>
    <t xml:space="preserve"> - objem vody převzaté</t>
  </si>
  <si>
    <t xml:space="preserve"> - objem vody předané</t>
  </si>
  <si>
    <t>Výroba</t>
  </si>
  <si>
    <t xml:space="preserve"> - domácnosti</t>
  </si>
  <si>
    <t xml:space="preserve"> - ostatní</t>
  </si>
  <si>
    <t>thou. m3/yr</t>
  </si>
  <si>
    <t>(za celou společnost)</t>
  </si>
  <si>
    <t>(whole company)</t>
  </si>
  <si>
    <t>5a.</t>
  </si>
  <si>
    <t>5b.</t>
  </si>
  <si>
    <t>Return of Expectations</t>
  </si>
  <si>
    <t>Return on RCV w/o Expectations</t>
  </si>
  <si>
    <t>Return on Expectations</t>
  </si>
  <si>
    <t>% ročního reálného růstu pro konstantní nárůst</t>
  </si>
  <si>
    <t>Žádné</t>
  </si>
  <si>
    <t>Konstantní</t>
  </si>
  <si>
    <t>Konstantní růst</t>
  </si>
  <si>
    <t>Vstupy vlastníka / provozovatele</t>
  </si>
  <si>
    <t>Vstupy provozovatele</t>
  </si>
  <si>
    <t>běžné</t>
  </si>
  <si>
    <t>anuitní</t>
  </si>
  <si>
    <t>tis. Kč</t>
  </si>
  <si>
    <t>tis. m3/rok</t>
  </si>
  <si>
    <t>roky</t>
  </si>
  <si>
    <t>Average real price based on required revenue</t>
  </si>
  <si>
    <t>Average nominal price based on required revenue</t>
  </si>
  <si>
    <t>Average real price based on allowed revenue</t>
  </si>
  <si>
    <t>REGULATORNÍ HODNOTA KAPITÁLU</t>
  </si>
  <si>
    <t>Regulatorní hodnota majetku - infrastrukturní</t>
  </si>
  <si>
    <t>Regulatorní hodnota majetku - provozní</t>
  </si>
  <si>
    <t>Pracovní kapitál</t>
  </si>
  <si>
    <t>Očekávání</t>
  </si>
  <si>
    <t>ReHoK celkem</t>
  </si>
  <si>
    <t>POŽADOVANÝ PŘÍJEM</t>
  </si>
  <si>
    <t>Odpisy - nominální</t>
  </si>
  <si>
    <t>Úprava odpisů o inflaci</t>
  </si>
  <si>
    <t>Výnos z ReHoK bez Očekávání</t>
  </si>
  <si>
    <t>Návratnost Očekávání</t>
  </si>
  <si>
    <t>Výnos z Očekávání</t>
  </si>
  <si>
    <t>Celkový Požadovaný příjem</t>
  </si>
  <si>
    <t>Kč/m3</t>
  </si>
  <si>
    <t>Průměrná reálná cena založená na Požadovaném příjmu</t>
  </si>
  <si>
    <t>POVOLENÝ PŘÍJEM (pokud je relevantní)</t>
  </si>
  <si>
    <t>Průměrná reálná cena založená na Povoleném příjmu</t>
  </si>
  <si>
    <t>Průměrná nominální cena založená na Povoleném příjmu</t>
  </si>
  <si>
    <t>VÝSTUPY - VODNÉ</t>
  </si>
  <si>
    <t>Průměrná nomin. cena založená na Požadovaném příjmu</t>
  </si>
  <si>
    <r>
      <t xml:space="preserve">Average nominal price based on </t>
    </r>
    <r>
      <rPr>
        <i/>
        <sz val="11"/>
        <color indexed="8"/>
        <rFont val="Calibri"/>
        <family val="2"/>
      </rPr>
      <t>allowed</t>
    </r>
    <r>
      <rPr>
        <sz val="11"/>
        <color theme="1"/>
        <rFont val="Calibri"/>
        <family val="2"/>
      </rPr>
      <t xml:space="preserve"> revenue</t>
    </r>
  </si>
  <si>
    <t>Počáteční hodnota</t>
  </si>
  <si>
    <t>Odpisy</t>
  </si>
  <si>
    <t>Odprodej</t>
  </si>
  <si>
    <t>Investice</t>
  </si>
  <si>
    <t>Odpisy investic</t>
  </si>
  <si>
    <t>Konečná hodnota</t>
  </si>
  <si>
    <t>Forecast Working Capital</t>
  </si>
  <si>
    <t>Pracovní kapitál do budoucna</t>
  </si>
  <si>
    <t>Forecast turnover for given contract</t>
  </si>
  <si>
    <t>Odhad obratu pro danou službu</t>
  </si>
  <si>
    <t>Odhad provozních nákladů pro danou službu</t>
  </si>
  <si>
    <t>Zásoby vztahující se k dané službě</t>
  </si>
  <si>
    <t>Reálné odpisy</t>
  </si>
  <si>
    <t>Úprava o inflaci</t>
  </si>
  <si>
    <t>Název vlastníka</t>
  </si>
  <si>
    <t>Name of Owner</t>
  </si>
  <si>
    <t>Zodpovědná osoba</t>
  </si>
  <si>
    <t>Person in charge</t>
  </si>
  <si>
    <t>Název provozovatele</t>
  </si>
  <si>
    <t>Name of Operator</t>
  </si>
  <si>
    <t>Kontaktní adresa</t>
  </si>
  <si>
    <t>Contact address</t>
  </si>
  <si>
    <t>Telefonní číslo</t>
  </si>
  <si>
    <t>Telephone number</t>
  </si>
  <si>
    <t>Fax</t>
  </si>
  <si>
    <t>Fax number</t>
  </si>
  <si>
    <t>E-mail</t>
  </si>
  <si>
    <t>Vyplnil</t>
  </si>
  <si>
    <t>Completed by</t>
  </si>
  <si>
    <t>Finanční model pro vlastníky a provozovatele vodohospodářské infrastruktury</t>
  </si>
  <si>
    <t>Financial Model for Water Sector Owners and Operators</t>
  </si>
  <si>
    <t>Tento projekt je spolufinancován Evropskou unií</t>
  </si>
  <si>
    <t>This project is co-financed by the European Union</t>
  </si>
  <si>
    <t>Identifikační údaje</t>
  </si>
  <si>
    <t>Project Reference Data</t>
  </si>
  <si>
    <t>Vlastník infrastruktury</t>
  </si>
  <si>
    <t>Infrastructure Owner</t>
  </si>
  <si>
    <t>Provozovatel infrastruktury</t>
  </si>
  <si>
    <t>Infrastructure Operator</t>
  </si>
  <si>
    <t>Verze</t>
  </si>
  <si>
    <t>Version</t>
  </si>
  <si>
    <t>Datum</t>
  </si>
  <si>
    <t>Date</t>
  </si>
  <si>
    <t>English version</t>
  </si>
  <si>
    <t>Disclaimer</t>
  </si>
  <si>
    <t>English disclaimer</t>
  </si>
  <si>
    <t>Czech disclaimer</t>
  </si>
  <si>
    <t>Slovník</t>
  </si>
  <si>
    <t>VÝPOČTY PRO VODNÉ</t>
  </si>
  <si>
    <t>CALCULATIONS FOR DRINKING WATER</t>
  </si>
  <si>
    <t>Účetní odpisy stávajícího majetku</t>
  </si>
  <si>
    <t>Accounting depreciation for existing assets</t>
  </si>
  <si>
    <t>Regulatorní odpisy stávajícího majetku</t>
  </si>
  <si>
    <t>Regulatory depreciation for existing assets</t>
  </si>
  <si>
    <t>Diskontovaný Pož. příjem</t>
  </si>
  <si>
    <t>Diskontovaný objem produkce</t>
  </si>
  <si>
    <t>vypracován v rámci zakázky "Zajišťování finančně-technického poradenství pro SFŽP ČR a MŽP při implementaci přílohy č.7 OP ŽP"</t>
  </si>
  <si>
    <t>Přepínače</t>
  </si>
  <si>
    <t>Switches</t>
  </si>
  <si>
    <t>developed under contract for the project 'Financial and technical consultancy for SEF CR and MoE in the implementation of Annex 7 OPE'</t>
  </si>
  <si>
    <t>Dictionary</t>
  </si>
  <si>
    <t xml:space="preserve"> - výnos z Očekávání</t>
  </si>
  <si>
    <t xml:space="preserve"> - return on Expectations</t>
  </si>
  <si>
    <t xml:space="preserve"> - return of Expectations</t>
  </si>
  <si>
    <t xml:space="preserve"> - návratnost Očekávání</t>
  </si>
  <si>
    <t xml:space="preserve"> - výnos a návratnost z Očekávání</t>
  </si>
  <si>
    <t>VSTUPY PRO STOČNÉ</t>
  </si>
  <si>
    <t>VÝPOČTY PRO STOČNÉ</t>
  </si>
  <si>
    <t>VÝSTUPY - STOČNÉ</t>
  </si>
  <si>
    <t>INPUTS FOR WASTEWATER</t>
  </si>
  <si>
    <t>CALCULATIONS FOR WASTEWATER</t>
  </si>
  <si>
    <t>OUTPUTS - WASTEWATER</t>
  </si>
  <si>
    <t>Disposals</t>
  </si>
  <si>
    <t>New Investments</t>
  </si>
  <si>
    <t>Total volume treated</t>
  </si>
  <si>
    <t>Voda vyčištěná - celkem</t>
  </si>
  <si>
    <t>Voda vyčištěná (vlastní ČOV)</t>
  </si>
  <si>
    <t>Voda vyčištěná (jiná ČOV)</t>
  </si>
  <si>
    <t>Volume treated by other WWTP</t>
  </si>
  <si>
    <t>Volume treated by own WWTP</t>
  </si>
  <si>
    <t>Objem vody odvedené</t>
  </si>
  <si>
    <t>Volume collected</t>
  </si>
  <si>
    <t>Voda odpadní odváděná fakturovatelná</t>
  </si>
  <si>
    <t>Provozní - účetní odpisy v reálných cenách</t>
  </si>
  <si>
    <t>Operational - accounting depreciation in real prices</t>
  </si>
  <si>
    <t>Infrastrukturní - účetní odpisy v reálných cenách</t>
  </si>
  <si>
    <t>Infrastructure - accounting depreciation in real prices</t>
  </si>
  <si>
    <t>Přístup k Očekávání</t>
  </si>
  <si>
    <t>Expectations approach</t>
  </si>
  <si>
    <t>Depriciation of investments</t>
  </si>
  <si>
    <t>Real depreciation</t>
  </si>
  <si>
    <t>Wastewater collected and billed</t>
  </si>
  <si>
    <t>(včetně dešťové)</t>
  </si>
  <si>
    <t>(rainwater included)</t>
  </si>
  <si>
    <t xml:space="preserve"> jako % vstupní ceny</t>
  </si>
  <si>
    <t xml:space="preserve"> as % of original Capex</t>
  </si>
  <si>
    <t xml:space="preserve"> =&gt;</t>
  </si>
  <si>
    <t xml:space="preserve"> -</t>
  </si>
  <si>
    <t>+</t>
  </si>
  <si>
    <t>NÁJEMNÉ</t>
  </si>
  <si>
    <t>RENT</t>
  </si>
  <si>
    <t>Investiční výdaje dle Plánu financování obnovy</t>
  </si>
  <si>
    <t>Investments from Asset Renewal Plan</t>
  </si>
  <si>
    <t>Finanční potřeba vlastníka</t>
  </si>
  <si>
    <t>Owner's financial needs</t>
  </si>
  <si>
    <t>Provozní náklady vlastníka</t>
  </si>
  <si>
    <t>Owner's opex</t>
  </si>
  <si>
    <t>Celková dluhová služba vlastníka</t>
  </si>
  <si>
    <t>Owner's total debt service payments</t>
  </si>
  <si>
    <t xml:space="preserve"> z toho jistina</t>
  </si>
  <si>
    <t xml:space="preserve"> of which principal</t>
  </si>
  <si>
    <t xml:space="preserve"> z toho úroky</t>
  </si>
  <si>
    <t xml:space="preserve"> of which interest</t>
  </si>
  <si>
    <t>Očekávané daňové povinnosti vlastníka</t>
  </si>
  <si>
    <t>Owner's expected tax obligations</t>
  </si>
  <si>
    <t>Smluvní investice ze strany provozovatele</t>
  </si>
  <si>
    <t>Operator's investment in infrastructure assets</t>
  </si>
  <si>
    <t>Financováno z dotací</t>
  </si>
  <si>
    <t>Grant finance</t>
  </si>
  <si>
    <t>Financováno z úvěru</t>
  </si>
  <si>
    <t>Debt finance</t>
  </si>
  <si>
    <t>Financed from own sources</t>
  </si>
  <si>
    <t>Celková roční potřeba vlastních zdrojů</t>
  </si>
  <si>
    <t>Total annual need of own sources</t>
  </si>
  <si>
    <t>Příjem vlastníka</t>
  </si>
  <si>
    <t>Owner's revenue</t>
  </si>
  <si>
    <t>Nájem z vodného</t>
  </si>
  <si>
    <t xml:space="preserve">Drinking water rent </t>
  </si>
  <si>
    <t>Nájem ze stočného</t>
  </si>
  <si>
    <t xml:space="preserve">Wastewater rent </t>
  </si>
  <si>
    <t>CELKEM</t>
  </si>
  <si>
    <t>TOTAL</t>
  </si>
  <si>
    <t>Roční potřeba vlastních zdrojů na vodné</t>
  </si>
  <si>
    <t>Annual requirement for own sources - DW</t>
  </si>
  <si>
    <t>Roční potřeba vlastních zdrojů na stočné</t>
  </si>
  <si>
    <t>Annual requirement for own sources - WW</t>
  </si>
  <si>
    <t>Příspěvek vlastníka</t>
  </si>
  <si>
    <t>Owner's contribution</t>
  </si>
  <si>
    <t>Stav účtu hotovosti vlastníka ke konci roku</t>
  </si>
  <si>
    <t>State of owner's cash balance at start of year</t>
  </si>
  <si>
    <t>Nájemné plus příspěvek vlastníka mínus výdaje</t>
  </si>
  <si>
    <t>Rent plus owner's contribution minus expenditure</t>
  </si>
  <si>
    <t>VODNÉ</t>
  </si>
  <si>
    <t>STOČNÉ</t>
  </si>
  <si>
    <t>DRINKING WATER</t>
  </si>
  <si>
    <t>WASTEWATER</t>
  </si>
  <si>
    <t>(vybraná varianta)</t>
  </si>
  <si>
    <t>(chosen alternative)</t>
  </si>
  <si>
    <t>VSTUPY PRO OBĚ SLOŽKY</t>
  </si>
  <si>
    <t>SHARED INPUTS</t>
  </si>
  <si>
    <t>A. Obecné</t>
  </si>
  <si>
    <t>A. General</t>
  </si>
  <si>
    <t>B. Provozní majetek (za celou společnost)</t>
  </si>
  <si>
    <t>B. Operational assets (whole company)</t>
  </si>
  <si>
    <t>Zbývající prvky ReHoK</t>
  </si>
  <si>
    <t>The rest of RCV elements</t>
  </si>
  <si>
    <t>sazba</t>
  </si>
  <si>
    <t>rate</t>
  </si>
  <si>
    <t>Takto označené řádky vyžadují některé Přímé uživatelské vstupy</t>
  </si>
  <si>
    <t>The rows introduced by this sign require some Direct inputs</t>
  </si>
  <si>
    <t>Základ</t>
  </si>
  <si>
    <t>Base</t>
  </si>
  <si>
    <t>VÝSTUPY ZA OBĚ SLOŽKY DOHROMADY</t>
  </si>
  <si>
    <t>TOTAL OUTPUTS</t>
  </si>
  <si>
    <t xml:space="preserve"> celkem</t>
  </si>
  <si>
    <t xml:space="preserve"> total</t>
  </si>
  <si>
    <t>Bílý text v buňkách těchto barev naznačuje vstupní údaj</t>
  </si>
  <si>
    <t>White text in cells of these colours indicates input data</t>
  </si>
  <si>
    <t>Jakýkoliv text v buňkách těchto barev je vstupní údaj</t>
  </si>
  <si>
    <t>Any text in cells of these colours indicates input data</t>
  </si>
  <si>
    <t>bez PK</t>
  </si>
  <si>
    <t>w/o WC</t>
  </si>
  <si>
    <t>Úprava Pož. příjmu o PK</t>
  </si>
  <si>
    <t>Modified Req. revenue by WC</t>
  </si>
  <si>
    <t>Částečná potřeba Pracovního kapitálu</t>
  </si>
  <si>
    <t>Part of Working capital needs</t>
  </si>
  <si>
    <t>příjmová část PK</t>
  </si>
  <si>
    <t>active WC</t>
  </si>
  <si>
    <t>bez příjmové části</t>
  </si>
  <si>
    <t>w/o active part</t>
  </si>
  <si>
    <t>a</t>
  </si>
  <si>
    <t>and</t>
  </si>
  <si>
    <t>PK</t>
  </si>
  <si>
    <t>WC</t>
  </si>
  <si>
    <t>Straight line</t>
  </si>
  <si>
    <t>uskutečněných v roce</t>
  </si>
  <si>
    <t>originating in</t>
  </si>
  <si>
    <t>Žádné / konstantní růst</t>
  </si>
  <si>
    <t>None / constant increase</t>
  </si>
  <si>
    <t xml:space="preserve"> - return on and of Expectations</t>
  </si>
  <si>
    <t>&gt; 100% !!!</t>
  </si>
  <si>
    <t>Pozor!</t>
  </si>
  <si>
    <t>max.</t>
  </si>
  <si>
    <t>Potřeba vlastních zdrojů na obnovu a rozšíření</t>
  </si>
  <si>
    <t>Investiční výdaje na nové investice nad obnovu</t>
  </si>
  <si>
    <t>Investments over renewal plan</t>
  </si>
  <si>
    <t>spočítaná</t>
  </si>
  <si>
    <t>uživatelský vstup</t>
  </si>
  <si>
    <t>calculated</t>
  </si>
  <si>
    <t>user input</t>
  </si>
  <si>
    <t>Predetermined tariff</t>
  </si>
  <si>
    <t>Constant prices</t>
  </si>
  <si>
    <t>Current prices</t>
  </si>
  <si>
    <t>Stálé ceny</t>
  </si>
  <si>
    <t>Běžné ceny</t>
  </si>
  <si>
    <t>Rental payment required for desired tariff</t>
  </si>
  <si>
    <t>Voluntary giving up of profit</t>
  </si>
  <si>
    <t>Možnost vzdát se zisku</t>
  </si>
  <si>
    <t>Horní hranice odpočtu</t>
  </si>
  <si>
    <t>Maximum of giving up</t>
  </si>
  <si>
    <t>Vzdát se zisku ve výši:</t>
  </si>
  <si>
    <t>Give up of profit:</t>
  </si>
  <si>
    <t>SOUHRN</t>
  </si>
  <si>
    <t>SUMMARY</t>
  </si>
  <si>
    <t>Zvolený kraj</t>
  </si>
  <si>
    <t>l/os/den</t>
  </si>
  <si>
    <t>Kč / osobu</t>
  </si>
  <si>
    <t>DPH z vodného a stočného</t>
  </si>
  <si>
    <t>Krajský index čistých příjmů domácností</t>
  </si>
  <si>
    <t>Index</t>
  </si>
  <si>
    <t>Kraj</t>
  </si>
  <si>
    <t>Hl.m.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</si>
  <si>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</si>
  <si>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</si>
  <si>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</si>
  <si>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</si>
  <si>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</si>
  <si>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</si>
  <si>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</si>
  <si>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</si>
  <si>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</si>
  <si>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</si>
  <si>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</si>
  <si>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</si>
  <si>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</si>
  <si>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v daném kraji</t>
  </si>
  <si>
    <t>Čistý průměrný měsíční příjem domácnosti</t>
  </si>
  <si>
    <t>ve výchozím roce</t>
  </si>
  <si>
    <t>Hranice sociální únosnosti</t>
  </si>
  <si>
    <t>Fyzické ukazatele</t>
  </si>
  <si>
    <t>m3/rok</t>
  </si>
  <si>
    <t>Sociální únosnost</t>
  </si>
  <si>
    <t>Roční průměrný čistý příjem za osobu</t>
  </si>
  <si>
    <t>Roční průměrný výdaj na osobu za vodné a stočné</t>
  </si>
  <si>
    <t>Podíl výdajů domácností na vodné a stočné na příjmech</t>
  </si>
  <si>
    <t>Cena pro vodné (ve stálých cenách, vč. DPH)</t>
  </si>
  <si>
    <t>Cena pro stočné (ve stálých cenách, vč. DPH)</t>
  </si>
  <si>
    <t>Objem vody dodané - domácnosti</t>
  </si>
  <si>
    <t>Objem vody dodané - ostatní</t>
  </si>
  <si>
    <t>Voda odpadní odváděná - domácnosti</t>
  </si>
  <si>
    <t>Voda odpadní odváděná - ostatní (včetně dešťové)</t>
  </si>
  <si>
    <t>Kč</t>
  </si>
  <si>
    <t>Nutný přepočet nájemného</t>
  </si>
  <si>
    <t>Průměrná spotřeba vody v domácnostech</t>
  </si>
  <si>
    <t>Nájemné - přímý uživatelský vstup</t>
  </si>
  <si>
    <t>bez DPH</t>
  </si>
  <si>
    <t>w/o VAT</t>
  </si>
  <si>
    <t>po vzdání se zisku</t>
  </si>
  <si>
    <t>after giving up of profit</t>
  </si>
  <si>
    <t>Růst v reálných příjmech domácností</t>
  </si>
  <si>
    <t>Index reálných příjmů domácností</t>
  </si>
  <si>
    <t>Ceny pro vodné a stočné a sociální únosnost - stálé ceny</t>
  </si>
  <si>
    <t>budoucnost</t>
  </si>
  <si>
    <t>future</t>
  </si>
  <si>
    <t xml:space="preserve">Požadovaný příjem </t>
  </si>
  <si>
    <t>Required revenue</t>
  </si>
  <si>
    <t>Selected region</t>
  </si>
  <si>
    <t>Regional index of net household income</t>
  </si>
  <si>
    <t>Region</t>
  </si>
  <si>
    <t>Specific domestic water consumption</t>
  </si>
  <si>
    <t>in base year</t>
  </si>
  <si>
    <t>Net average monthly income</t>
  </si>
  <si>
    <t>in selected region</t>
  </si>
  <si>
    <t>CZK/person</t>
  </si>
  <si>
    <t>VAT on water services</t>
  </si>
  <si>
    <t>Affordability limit (share of household income)</t>
  </si>
  <si>
    <t>l/p/d</t>
  </si>
  <si>
    <t>Physical indicators</t>
  </si>
  <si>
    <t>Volume supplied - households</t>
  </si>
  <si>
    <t>Volume supplied - non-households</t>
  </si>
  <si>
    <t>Wastewater collected - households</t>
  </si>
  <si>
    <t>Wastewater collected - non-households (rainwater included)</t>
  </si>
  <si>
    <t>Growth in real household incomes</t>
  </si>
  <si>
    <t>Index of real household incomes</t>
  </si>
  <si>
    <t>Affordability</t>
  </si>
  <si>
    <t>Annual average expenditure on water services per person</t>
  </si>
  <si>
    <t>Annual average net income per person</t>
  </si>
  <si>
    <t>Share of household income on water services</t>
  </si>
  <si>
    <t>Affordability limit</t>
  </si>
  <si>
    <t>Water tariff (in constant prices, incl. VAT)</t>
  </si>
  <si>
    <t>Wastewater tariff (in constant prices, incl. VAT)</t>
  </si>
  <si>
    <t>Affordability limit (constant prices, incl. VAT)</t>
  </si>
  <si>
    <t>Tariffs and affordability - constant prices</t>
  </si>
  <si>
    <t>CZK</t>
  </si>
  <si>
    <t>Rent calculated by desired tariff - OK</t>
  </si>
  <si>
    <t>New calculation of rent needed</t>
  </si>
  <si>
    <t>Rent - direct user input</t>
  </si>
  <si>
    <t>Calculation of rent by desired tariff</t>
  </si>
  <si>
    <t>Zisk před zdaněním, z toho</t>
  </si>
  <si>
    <t>Přiměřený zisk jako % ÚVN</t>
  </si>
  <si>
    <t>D.</t>
  </si>
  <si>
    <t>ÚČET HOTOVOSTI VLASTNÍKA</t>
  </si>
  <si>
    <t>OWNER'S CASH BALANCE</t>
  </si>
  <si>
    <t>Dlouhodobý deficit v nájemném této složky!</t>
  </si>
  <si>
    <t>Longterm deficit in rent to Owner!</t>
  </si>
  <si>
    <t>Kalkulace</t>
  </si>
  <si>
    <t>Finanční náklady</t>
  </si>
  <si>
    <t>Počet pracovníků</t>
  </si>
  <si>
    <t>osob</t>
  </si>
  <si>
    <t>Voda srážková fakturovaná</t>
  </si>
  <si>
    <t>Kalkulační zisk</t>
  </si>
  <si>
    <t>z toho odpisy</t>
  </si>
  <si>
    <t>Dobrovolně snížený zisk jako % ÚVN</t>
  </si>
  <si>
    <t>Vstupy do Kalkulace</t>
  </si>
  <si>
    <t>Odpisy zahrnuté do výrobní režie</t>
  </si>
  <si>
    <t>Odpisy zahrnuté do správní režie</t>
  </si>
  <si>
    <t>Hodnota infrastrukturního majetku podle VÚME</t>
  </si>
  <si>
    <t>Pořizovací cena provozního majetku</t>
  </si>
  <si>
    <t>Odpadní voda předaná</t>
  </si>
  <si>
    <t>Nominální odpisy investic do provozního majetku v reálných cenách</t>
  </si>
  <si>
    <t>Nominální odpisy investic do infra. majetku v reálných cenách</t>
  </si>
  <si>
    <t>Zisk ve vztahu ke Kalkulaci</t>
  </si>
  <si>
    <t>Kalkulační zisk jako % ÚVN</t>
  </si>
  <si>
    <t>Přiměřený zisk po snížení před zdaněním</t>
  </si>
  <si>
    <t>Financial costs</t>
  </si>
  <si>
    <t>Depreciation included into Production overheads</t>
  </si>
  <si>
    <t>Depreciation included into Administrative overheads</t>
  </si>
  <si>
    <t>Ifrastructural assets - valued by MoAg methodology</t>
  </si>
  <si>
    <t>Purchase value of Operational assets</t>
  </si>
  <si>
    <t>Number of employees</t>
  </si>
  <si>
    <t>Nominal depreciation of Operational assets in real prices</t>
  </si>
  <si>
    <t>Nominal depreciation of Infrastructural assets in real prices</t>
  </si>
  <si>
    <t>Profit before taxes, including:</t>
  </si>
  <si>
    <t>Reasonable profit as % of Total costs</t>
  </si>
  <si>
    <t>Voluntarily decreased profit as  % of Total costs</t>
  </si>
  <si>
    <t>Profit related to Official MoAg Report</t>
  </si>
  <si>
    <t>Reasonable profit before tax after voluntary decrease</t>
  </si>
  <si>
    <t>Potencionální zisk z titulu nikdy nevybraných pohledávek</t>
  </si>
  <si>
    <t>Potentional profit at 100% Collection rate</t>
  </si>
  <si>
    <t>Profit for Official MoAg Report</t>
  </si>
  <si>
    <t>Profit for Official MoAg Report as % of Totatl costs</t>
  </si>
  <si>
    <t>ZMĚNY V REHOM</t>
  </si>
  <si>
    <t>CHANGES IN RAB</t>
  </si>
  <si>
    <t>Skutečně uhrazená produkce</t>
  </si>
  <si>
    <t>Receivable production</t>
  </si>
  <si>
    <t>Depreciation</t>
  </si>
  <si>
    <t>Provozní majetek - přidělený</t>
  </si>
  <si>
    <t>Operational assets - apportioned</t>
  </si>
  <si>
    <t>of which depreciation</t>
  </si>
  <si>
    <t>Přístup k vyhlazení ceny</t>
  </si>
  <si>
    <t>Diskontovaný objem produkce indexovaný cenovým růstem</t>
  </si>
  <si>
    <t>Cena</t>
  </si>
  <si>
    <t>Výše požadovaných cen</t>
  </si>
  <si>
    <t>Nájemné dle stanovené ceny</t>
  </si>
  <si>
    <t>Nájemné koresponduje s cenami</t>
  </si>
  <si>
    <t>Výpočet nájemného dle zadané ceny</t>
  </si>
  <si>
    <t>Sociálně unosná cena</t>
  </si>
  <si>
    <t>Sociálně únosná cena (stále ceny, vč. DPH)</t>
  </si>
  <si>
    <t>Index růstu cen</t>
  </si>
  <si>
    <t>% změna v ceně</t>
  </si>
  <si>
    <t>% change in annual tariff</t>
  </si>
  <si>
    <t>v běžných cenách</t>
  </si>
  <si>
    <t>current prices</t>
  </si>
  <si>
    <t>provozovatele</t>
  </si>
  <si>
    <t>of Operator</t>
  </si>
  <si>
    <t>bez odpisů</t>
  </si>
  <si>
    <t>w/o depreciation</t>
  </si>
  <si>
    <t>k tomu odpisy</t>
  </si>
  <si>
    <t>plus depreciation</t>
  </si>
  <si>
    <t>Dotčený list</t>
  </si>
  <si>
    <t>Popis změny</t>
  </si>
  <si>
    <t>Description of change</t>
  </si>
  <si>
    <t>Worksheet affected</t>
  </si>
  <si>
    <t xml:space="preserve"> </t>
  </si>
  <si>
    <t>Seznam změn v Modelu od verze vII.0.5</t>
  </si>
  <si>
    <t>Spolecne vstupy</t>
  </si>
  <si>
    <t>Ostraněn vzorec v buňce F19 a nahrazen pevnou hodnotou 1. Nejedná se o závažnou změnu a nadále lze plnohodnotně využívat verzi vII.0.5.</t>
  </si>
  <si>
    <t>Formula in cell F19 deleted and substituted by constant value 1. This change is not serious therefore validity of version vII.0.5 remains.</t>
  </si>
  <si>
    <t>Vypocty V</t>
  </si>
  <si>
    <t>Opraven chybný link v řádku 28. Tato oprava odstraňuje nefunkčnost v oblasti účetních odpisů stávajícího infrastrukturního majetku ve složce Vodné.</t>
  </si>
  <si>
    <t xml:space="preserve">Error link in row 28 corrected. This correction removes disfunction in area of Accoutning depreication of Drinking water infrastructure. </t>
  </si>
  <si>
    <t>List of changes to Model since version vII.0.5</t>
  </si>
  <si>
    <t>rozdíl oproti Nástroji!</t>
  </si>
  <si>
    <t>Outstanding pre-paid rent</t>
  </si>
  <si>
    <t>Historický rok</t>
  </si>
  <si>
    <t>Historical year</t>
  </si>
  <si>
    <t>Vstup odpisů Provozního majetku do ceny</t>
  </si>
  <si>
    <t>v rámci zadání provozních nákladů uživatelem</t>
  </si>
  <si>
    <t>včetně odpisů</t>
  </si>
  <si>
    <t>depreciation included</t>
  </si>
  <si>
    <t>Influence of Operational assets depreciation on price</t>
  </si>
  <si>
    <t>by automatic Model calculation</t>
  </si>
  <si>
    <t>Depreciation of infrastructure - nominal</t>
  </si>
  <si>
    <t>Odpisy infrastruktury - nominální</t>
  </si>
  <si>
    <t>Smluvní minimální výše oprav s charakterem obnovy</t>
  </si>
  <si>
    <t>The agreed minimal renewal repairs</t>
  </si>
  <si>
    <t>Seznam změn v Modelu od verze vII.0.7</t>
  </si>
  <si>
    <t>List of changes to Model since version vII.0.7</t>
  </si>
  <si>
    <t>Vystupy V/S</t>
  </si>
  <si>
    <t>Najemne V/S</t>
  </si>
  <si>
    <t>Upraveno makro na dopočet Nájemného při zadání požadované ceny tak, aby bylo funkční i při současném vzdání se zisku.</t>
  </si>
  <si>
    <t>automatickým výpočtem Modelu</t>
  </si>
  <si>
    <t>všechny listy</t>
  </si>
  <si>
    <t>Přidána možnost vkládat odpisy Provozního majetku v rámci zadání provozních nákladů (nikoliv automatickým dopočtem).</t>
  </si>
  <si>
    <t>Přidán řádek 62 - Snížení o finančí náklady (upravuje kalkulační zisk).</t>
  </si>
  <si>
    <t>Seznam změn v Modelu od verze vII.0.8</t>
  </si>
  <si>
    <t>Vstupy V/S</t>
  </si>
  <si>
    <t>V části A. byla odstraněna možnost "vyhlazení cen", které nebyl uzpůsoben standardní Vyrovnávací nástroj ani text Platebního mechanismu.</t>
  </si>
  <si>
    <t>4. Ostatní přímé náklady, 5. Provozní náklady</t>
  </si>
  <si>
    <t>4. Other direct costs, 5. Operational costs</t>
  </si>
  <si>
    <t>4.1 odpisy - pouze historické údaje!</t>
  </si>
  <si>
    <t>4.1 depreciation charges - historical data only!</t>
  </si>
  <si>
    <t>2.2 ostatní energie (plyn, pevná a kapalná energie)</t>
  </si>
  <si>
    <t>5.1 poplatky za vypouštění odpadních vod</t>
  </si>
  <si>
    <t>5.1 wastewater discharge fees</t>
  </si>
  <si>
    <t>5.2 ostatní provozní náklady externí</t>
  </si>
  <si>
    <t>5.3 ostatní provozní náklady ve vlastní režii</t>
  </si>
  <si>
    <t>5.2 other operating costs - external</t>
  </si>
  <si>
    <t>5.3 other own operating costs</t>
  </si>
  <si>
    <t>6. Finanční náklady - 7. Finanční výnosy</t>
  </si>
  <si>
    <t>8. Výrobní režie</t>
  </si>
  <si>
    <t>9. Správní režie</t>
  </si>
  <si>
    <t>6. Financial costs - 7. Financial revenues</t>
  </si>
  <si>
    <t>8. Production overheads</t>
  </si>
  <si>
    <t>9. Administrative overheads</t>
  </si>
  <si>
    <t>List odstraněn.</t>
  </si>
  <si>
    <t>Seznam změn v Modelu od verze vII.0.9</t>
  </si>
  <si>
    <t>Přizpůsobení názvů nákladových položek nové formě kalkulace cen (dle aktuálního znění Přílohy č. 19a/20 k vyhlášce č. 428/2001 Sb.) (viz řádky 86-100)</t>
  </si>
  <si>
    <t>Úprava o finanční náklady a výnosy</t>
  </si>
  <si>
    <t>K finančním nákladům přičteny i finanční výnosy, aby společně vstupovaly do Vystupy V/S (ř. 97)</t>
  </si>
  <si>
    <t>Změna názvu (zahrnuje nyní i finanční výnosy) (buňka C62)</t>
  </si>
  <si>
    <t>Adjustment for financial costs and revenues</t>
  </si>
  <si>
    <t>Souhrn</t>
  </si>
  <si>
    <t>Růst přijmů domácností (ř. 89) je nyní uživatelsky nastavitelnou položkou.</t>
  </si>
  <si>
    <t>Opraven vzorec pro překlad do AJ v buňce C31</t>
  </si>
  <si>
    <t>Krajský index čistých příjmů domácností (O4:O18) je nyní uživatelsky nastavitelnou položkou.</t>
  </si>
  <si>
    <t>31. července 2014</t>
  </si>
  <si>
    <t>Prognóza inflace je dle řádku 22 v listu "Vstupy ex ante" ve Vyrovnávacím nástroji, nikoliv dle ř. 10, tzn. reflektuje znovuprognózu dle vývoje ISC a aktuální prognózy ČNB</t>
  </si>
  <si>
    <t>ENGLISH TEXT OF DISCLAIMER NOT AVAILABLE</t>
  </si>
  <si>
    <t>Seznam změn v Modelu od verze vII.0.10</t>
  </si>
  <si>
    <t>-</t>
  </si>
  <si>
    <t>Žádné změny nejsou.</t>
  </si>
  <si>
    <t>Tento dokument byl připraven pro Operační program Životní prostředí v programovém období 2007 - 2013 jako prostředek k zajištění některých požadavků Evropské komise vztahujících se k provozování vodohospodářské infrastruktury. Předchozí verze tohoto dokumentu II.0.7, II.0.8 a II.0.9 zpracovala společnost MOTT MACDONALD Praha, spol. s r.o. Poskytovatel dokumentu II.0.10 a této verze dokumentu II.0.11, Státní fond životního prostředí ČR, nenese odpovědnost za důsledky užití tohoto dokumentu pro jiné účely, než pro které je určen a neodpovídá za škody a případné ztráty způsobené užitím tohoto dokumentu.</t>
  </si>
  <si>
    <t>Seznam změn v Modelu od verze vII.0.11</t>
  </si>
  <si>
    <t>Uvolněna podmínka délky doby cenové fixace.</t>
  </si>
  <si>
    <t>v rámci zadání PN uživatelem, zvlášť pro V/S</t>
  </si>
  <si>
    <t>within the user's OPEX input, separately for DW/WW</t>
  </si>
  <si>
    <t>within the user's OPEX input</t>
  </si>
  <si>
    <t>Apportioned operational OR infrastructure assets</t>
  </si>
  <si>
    <t>Přidělený provozní NEBO infrastrukturní majetek</t>
  </si>
  <si>
    <t>Odpisy celkem</t>
  </si>
  <si>
    <t>Total depreciation</t>
  </si>
  <si>
    <t>Infrastrukturní NEBO přidělené provozní - účetní odpisy v reálných cenách</t>
  </si>
  <si>
    <t>Apportioned operational OR infrastructure - nominal depreciation in real prices</t>
  </si>
  <si>
    <t>Regulatorní hodnota majetku - přidělený provozní NEBO infrastrukturní</t>
  </si>
  <si>
    <t>Regulatory capital value - apportioned operational OR infrastructure</t>
  </si>
  <si>
    <t>Možnost zadat přidělený provozní majetek přímo do listů "Vstupy V/S" místo do listo "Spolecne vstupy" - při výběru 3. varianty na listu "Spolecne vstupy" pro vstup odpisů provozního majetku do ceny tj. "V rámci zadání PN uživatelem, zvlášť pro V/S".</t>
  </si>
  <si>
    <t>Pro verzi souboru určeného pro 2. období cenové fixace (ZM_vII.0.11PP_2.OCF.xls), přidány vzorce pro automatické vyplnění na základě procesu Periodického přezkoumání.</t>
  </si>
  <si>
    <t>Spolecne vstupy, Vstupy V/S, Vypocty V/S, Vystupy V/S</t>
  </si>
  <si>
    <t>Spolecne vstupy, Najemne V/S, Vstupy V/S</t>
  </si>
  <si>
    <t>NEVYPLŇOVAT - vyplňují se listy Vstupy V/S!</t>
  </si>
  <si>
    <t>DO NOT FILL IN! - use sheets "Vstupy V" and/or "Vstupy S" as required</t>
  </si>
  <si>
    <t>II.0.11PP_SF1.3</t>
  </si>
  <si>
    <t>statutární město Frýdek-Místek</t>
  </si>
  <si>
    <t>Ing. Šárka Gilarová – vedoucí odboru ŽPaZ</t>
  </si>
  <si>
    <t>Radniční 1148, Frýdek, 73801 Frýdek-Místek</t>
  </si>
  <si>
    <t>558 609 483</t>
  </si>
  <si>
    <t xml:space="preserve">gilarova.sarka@frydekmistek.cz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</si>
</sst>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0"/>
    <numFmt numFmtId="173" formatCode="0.0%"/>
    <numFmt numFmtId="174" formatCode="#,##0.000"/>
    <numFmt numFmtId="175" formatCode="dd/mm/yyyy;@"/>
    <numFmt numFmtId="176" formatCode="0.000;\-0.000;_-* &quot;-&quot;??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,##0.000_ ;\-#,##0.0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22"/>
      <name val="Arial"/>
      <family val="2"/>
    </font>
    <font>
      <i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i/>
      <sz val="10"/>
      <color indexed="18"/>
      <name val="Arial"/>
      <family val="2"/>
    </font>
    <font>
      <sz val="16"/>
      <color indexed="9"/>
      <name val="Arial"/>
      <family val="2"/>
    </font>
    <font>
      <sz val="24"/>
      <name val="Mott MacDonald Logo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1"/>
      <color indexed="10"/>
      <name val="Arial"/>
      <family val="2"/>
    </font>
    <font>
      <sz val="9"/>
      <name val="Tahoma"/>
      <family val="2"/>
    </font>
    <font>
      <sz val="17.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sz val="7.1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1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34" fillId="0" borderId="3" applyNumberFormat="0" applyFill="0" applyAlignment="0" applyProtection="0"/>
    <xf numFmtId="0" fontId="46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1" fillId="20" borderId="6" applyNumberFormat="0" applyFont="0" applyAlignment="0" applyProtection="0"/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1" borderId="0" applyNumberFormat="0" applyBorder="0" applyAlignment="0" applyProtection="0"/>
    <xf numFmtId="0" fontId="50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52" fillId="23" borderId="8" applyNumberFormat="0" applyAlignment="0" applyProtection="0"/>
    <xf numFmtId="0" fontId="64" fillId="24" borderId="8" applyNumberFormat="0" applyAlignment="0" applyProtection="0"/>
    <xf numFmtId="0" fontId="65" fillId="24" borderId="9" applyNumberFormat="0" applyAlignment="0" applyProtection="0"/>
    <xf numFmtId="0" fontId="6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53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9" fontId="8" fillId="30" borderId="12" xfId="0" applyNumberFormat="1" applyFont="1" applyFill="1" applyBorder="1" applyAlignment="1">
      <alignment/>
    </xf>
    <xf numFmtId="0" fontId="9" fillId="31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6" fillId="0" borderId="14" xfId="0" applyFont="1" applyFill="1" applyBorder="1" applyAlignment="1">
      <alignment/>
    </xf>
    <xf numFmtId="172" fontId="9" fillId="24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0" fillId="24" borderId="0" xfId="0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Alignment="1">
      <alignment/>
    </xf>
    <xf numFmtId="3" fontId="9" fillId="24" borderId="0" xfId="0" applyNumberFormat="1" applyFont="1" applyFill="1" applyBorder="1" applyAlignment="1">
      <alignment/>
    </xf>
    <xf numFmtId="3" fontId="9" fillId="24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12" fillId="30" borderId="14" xfId="0" applyNumberFormat="1" applyFont="1" applyFill="1" applyBorder="1" applyAlignment="1">
      <alignment/>
    </xf>
    <xf numFmtId="0" fontId="11" fillId="3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3" fontId="9" fillId="24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3" fontId="9" fillId="24" borderId="16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3" fillId="0" borderId="16" xfId="0" applyFont="1" applyBorder="1" applyAlignment="1">
      <alignment wrapText="1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 horizontal="left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3" fontId="12" fillId="33" borderId="0" xfId="0" applyNumberFormat="1" applyFont="1" applyFill="1" applyAlignment="1">
      <alignment/>
    </xf>
    <xf numFmtId="0" fontId="9" fillId="30" borderId="0" xfId="49" applyFill="1" applyProtection="1">
      <alignment/>
      <protection/>
    </xf>
    <xf numFmtId="0" fontId="9" fillId="30" borderId="0" xfId="49" applyFont="1" applyFill="1" applyProtection="1">
      <alignment/>
      <protection/>
    </xf>
    <xf numFmtId="0" fontId="9" fillId="0" borderId="0" xfId="49" applyFont="1" applyFill="1" applyBorder="1" applyProtection="1">
      <alignment/>
      <protection/>
    </xf>
    <xf numFmtId="0" fontId="9" fillId="0" borderId="0" xfId="49" applyFont="1" applyFill="1" applyProtection="1">
      <alignment/>
      <protection/>
    </xf>
    <xf numFmtId="0" fontId="9" fillId="30" borderId="11" xfId="49" applyFill="1" applyBorder="1" applyProtection="1">
      <alignment/>
      <protection/>
    </xf>
    <xf numFmtId="0" fontId="9" fillId="30" borderId="0" xfId="49" applyFill="1" applyBorder="1" applyProtection="1">
      <alignment/>
      <protection/>
    </xf>
    <xf numFmtId="0" fontId="9" fillId="30" borderId="12" xfId="49" applyFill="1" applyBorder="1" applyProtection="1">
      <alignment/>
      <protection/>
    </xf>
    <xf numFmtId="0" fontId="9" fillId="30" borderId="0" xfId="49" applyFill="1" applyAlignment="1" applyProtection="1">
      <alignment/>
      <protection/>
    </xf>
    <xf numFmtId="0" fontId="19" fillId="30" borderId="11" xfId="49" applyFont="1" applyFill="1" applyBorder="1" applyAlignment="1" applyProtection="1">
      <alignment horizontal="center" vertical="center" wrapText="1"/>
      <protection/>
    </xf>
    <xf numFmtId="0" fontId="9" fillId="30" borderId="0" xfId="49" applyFill="1" applyBorder="1" applyAlignment="1" applyProtection="1">
      <alignment horizontal="center" vertical="center" wrapText="1"/>
      <protection/>
    </xf>
    <xf numFmtId="0" fontId="9" fillId="30" borderId="12" xfId="49" applyFill="1" applyBorder="1" applyAlignment="1" applyProtection="1">
      <alignment horizontal="center" vertical="center" wrapText="1"/>
      <protection/>
    </xf>
    <xf numFmtId="0" fontId="9" fillId="30" borderId="0" xfId="49" applyFont="1" applyFill="1" applyAlignment="1" applyProtection="1">
      <alignment/>
      <protection/>
    </xf>
    <xf numFmtId="0" fontId="9" fillId="0" borderId="0" xfId="49" applyFont="1" applyFill="1" applyBorder="1" applyAlignment="1" applyProtection="1">
      <alignment/>
      <protection/>
    </xf>
    <xf numFmtId="0" fontId="9" fillId="0" borderId="0" xfId="49" applyFont="1" applyFill="1" applyAlignment="1" applyProtection="1">
      <alignment/>
      <protection/>
    </xf>
    <xf numFmtId="0" fontId="9" fillId="30" borderId="17" xfId="49" applyFill="1" applyBorder="1" applyAlignment="1" applyProtection="1">
      <alignment horizontal="center"/>
      <protection/>
    </xf>
    <xf numFmtId="0" fontId="9" fillId="30" borderId="13" xfId="49" applyFill="1" applyBorder="1" applyProtection="1">
      <alignment/>
      <protection/>
    </xf>
    <xf numFmtId="0" fontId="9" fillId="30" borderId="16" xfId="49" applyFill="1" applyBorder="1" applyProtection="1">
      <alignment/>
      <protection/>
    </xf>
    <xf numFmtId="0" fontId="9" fillId="30" borderId="16" xfId="49" applyFill="1" applyBorder="1" applyAlignment="1" applyProtection="1">
      <alignment horizontal="right"/>
      <protection/>
    </xf>
    <xf numFmtId="14" fontId="9" fillId="30" borderId="17" xfId="49" applyNumberFormat="1" applyFill="1" applyBorder="1" applyAlignment="1" applyProtection="1">
      <alignment horizontal="center"/>
      <protection/>
    </xf>
    <xf numFmtId="171" fontId="9" fillId="0" borderId="0" xfId="40" applyFont="1" applyFill="1" applyAlignment="1" applyProtection="1">
      <alignment/>
      <protection/>
    </xf>
    <xf numFmtId="0" fontId="17" fillId="33" borderId="11" xfId="49" applyFont="1" applyFill="1" applyBorder="1" applyAlignment="1" applyProtection="1">
      <alignment/>
      <protection/>
    </xf>
    <xf numFmtId="0" fontId="17" fillId="33" borderId="0" xfId="49" applyFont="1" applyFill="1" applyBorder="1" applyAlignment="1" applyProtection="1">
      <alignment/>
      <protection/>
    </xf>
    <xf numFmtId="0" fontId="17" fillId="33" borderId="0" xfId="49" applyFont="1" applyFill="1" applyBorder="1" applyProtection="1">
      <alignment/>
      <protection/>
    </xf>
    <xf numFmtId="0" fontId="17" fillId="33" borderId="12" xfId="49" applyFont="1" applyFill="1" applyBorder="1" applyProtection="1">
      <alignment/>
      <protection/>
    </xf>
    <xf numFmtId="0" fontId="8" fillId="30" borderId="0" xfId="49" applyFont="1" applyFill="1" applyBorder="1" applyProtection="1">
      <alignment/>
      <protection/>
    </xf>
    <xf numFmtId="0" fontId="9" fillId="30" borderId="12" xfId="49" applyFill="1" applyBorder="1" applyAlignment="1" applyProtection="1">
      <alignment/>
      <protection/>
    </xf>
    <xf numFmtId="0" fontId="9" fillId="30" borderId="18" xfId="49" applyFill="1" applyBorder="1" applyAlignment="1" applyProtection="1">
      <alignment horizontal="left"/>
      <protection/>
    </xf>
    <xf numFmtId="0" fontId="9" fillId="30" borderId="14" xfId="49" applyFill="1" applyBorder="1" applyAlignment="1" applyProtection="1">
      <alignment horizontal="left"/>
      <protection/>
    </xf>
    <xf numFmtId="0" fontId="9" fillId="30" borderId="11" xfId="49" applyFill="1" applyBorder="1" applyAlignment="1" applyProtection="1">
      <alignment/>
      <protection/>
    </xf>
    <xf numFmtId="0" fontId="9" fillId="30" borderId="0" xfId="49" applyFill="1" applyBorder="1" applyAlignment="1" applyProtection="1">
      <alignment/>
      <protection/>
    </xf>
    <xf numFmtId="0" fontId="9" fillId="30" borderId="18" xfId="49" applyFill="1" applyBorder="1" applyAlignment="1" applyProtection="1">
      <alignment horizontal="left" vertical="center"/>
      <protection/>
    </xf>
    <xf numFmtId="0" fontId="9" fillId="30" borderId="14" xfId="49" applyFill="1" applyBorder="1" applyAlignment="1" applyProtection="1">
      <alignment horizontal="left" vertical="center"/>
      <protection/>
    </xf>
    <xf numFmtId="49" fontId="9" fillId="30" borderId="14" xfId="49" applyNumberFormat="1" applyFill="1" applyBorder="1" applyAlignment="1" applyProtection="1">
      <alignment horizontal="left" vertical="center"/>
      <protection/>
    </xf>
    <xf numFmtId="0" fontId="23" fillId="0" borderId="0" xfId="49" applyFont="1" applyFill="1" applyBorder="1" applyProtection="1">
      <alignment/>
      <protection/>
    </xf>
    <xf numFmtId="0" fontId="9" fillId="30" borderId="13" xfId="49" applyFill="1" applyBorder="1" applyAlignment="1" applyProtection="1">
      <alignment horizontal="left" vertical="center"/>
      <protection/>
    </xf>
    <xf numFmtId="0" fontId="9" fillId="30" borderId="16" xfId="49" applyFill="1" applyBorder="1" applyAlignment="1" applyProtection="1">
      <alignment horizontal="left" vertical="center"/>
      <protection/>
    </xf>
    <xf numFmtId="49" fontId="9" fillId="30" borderId="16" xfId="49" applyNumberFormat="1" applyFill="1" applyBorder="1" applyAlignment="1" applyProtection="1">
      <alignment horizontal="left" vertical="center"/>
      <protection/>
    </xf>
    <xf numFmtId="0" fontId="9" fillId="0" borderId="0" xfId="49" applyFill="1" applyProtection="1">
      <alignment/>
      <protection/>
    </xf>
    <xf numFmtId="1" fontId="8" fillId="31" borderId="19" xfId="0" applyNumberFormat="1" applyFont="1" applyFill="1" applyBorder="1" applyAlignment="1" applyProtection="1">
      <alignment/>
      <protection locked="0"/>
    </xf>
    <xf numFmtId="1" fontId="8" fillId="31" borderId="12" xfId="0" applyNumberFormat="1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8" fillId="32" borderId="20" xfId="0" applyFont="1" applyFill="1" applyBorder="1" applyAlignment="1" applyProtection="1">
      <alignment/>
      <protection locked="0"/>
    </xf>
    <xf numFmtId="10" fontId="9" fillId="34" borderId="14" xfId="52" applyNumberFormat="1" applyFont="1" applyFill="1" applyBorder="1" applyAlignment="1" applyProtection="1">
      <alignment/>
      <protection locked="0"/>
    </xf>
    <xf numFmtId="10" fontId="11" fillId="32" borderId="14" xfId="52" applyNumberFormat="1" applyFont="1" applyFill="1" applyBorder="1" applyAlignment="1" applyProtection="1">
      <alignment/>
      <protection locked="0"/>
    </xf>
    <xf numFmtId="0" fontId="0" fillId="30" borderId="0" xfId="0" applyFill="1" applyBorder="1" applyAlignment="1">
      <alignment/>
    </xf>
    <xf numFmtId="0" fontId="9" fillId="30" borderId="14" xfId="0" applyFont="1" applyFill="1" applyBorder="1" applyAlignment="1">
      <alignment/>
    </xf>
    <xf numFmtId="0" fontId="9" fillId="30" borderId="0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9" fontId="11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73" fontId="12" fillId="30" borderId="0" xfId="0" applyNumberFormat="1" applyFont="1" applyFill="1" applyAlignment="1" applyProtection="1">
      <alignment/>
      <protection locked="0"/>
    </xf>
    <xf numFmtId="0" fontId="17" fillId="33" borderId="1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24" fillId="3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9" fillId="3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24" borderId="16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1" fillId="31" borderId="14" xfId="0" applyFont="1" applyFill="1" applyBorder="1" applyAlignment="1" applyProtection="1">
      <alignment/>
      <protection locked="0"/>
    </xf>
    <xf numFmtId="3" fontId="9" fillId="31" borderId="14" xfId="0" applyNumberFormat="1" applyFont="1" applyFill="1" applyBorder="1" applyAlignment="1" applyProtection="1">
      <alignment/>
      <protection locked="0"/>
    </xf>
    <xf numFmtId="0" fontId="9" fillId="0" borderId="16" xfId="0" applyFont="1" applyBorder="1" applyAlignment="1">
      <alignment/>
    </xf>
    <xf numFmtId="0" fontId="9" fillId="0" borderId="0" xfId="47">
      <alignment/>
      <protection/>
    </xf>
    <xf numFmtId="0" fontId="7" fillId="0" borderId="0" xfId="47" applyFont="1">
      <alignment/>
      <protection/>
    </xf>
    <xf numFmtId="0" fontId="8" fillId="24" borderId="16" xfId="47" applyFont="1" applyFill="1" applyBorder="1">
      <alignment/>
      <protection/>
    </xf>
    <xf numFmtId="0" fontId="14" fillId="0" borderId="0" xfId="48" applyFont="1" applyBorder="1">
      <alignment/>
      <protection/>
    </xf>
    <xf numFmtId="0" fontId="9" fillId="31" borderId="0" xfId="47" applyFill="1" applyAlignment="1">
      <alignment horizontal="right"/>
      <protection/>
    </xf>
    <xf numFmtId="0" fontId="11" fillId="0" borderId="14" xfId="48" applyFont="1" applyBorder="1">
      <alignment/>
      <protection/>
    </xf>
    <xf numFmtId="0" fontId="9" fillId="0" borderId="14" xfId="47" applyBorder="1">
      <alignment/>
      <protection/>
    </xf>
    <xf numFmtId="0" fontId="9" fillId="0" borderId="0" xfId="47" applyAlignment="1">
      <alignment horizontal="right"/>
      <protection/>
    </xf>
    <xf numFmtId="0" fontId="11" fillId="0" borderId="0" xfId="48" applyFont="1" applyBorder="1">
      <alignment/>
      <protection/>
    </xf>
    <xf numFmtId="3" fontId="9" fillId="24" borderId="14" xfId="47" applyNumberFormat="1" applyFont="1" applyFill="1" applyBorder="1" applyProtection="1">
      <alignment/>
      <protection/>
    </xf>
    <xf numFmtId="0" fontId="26" fillId="0" borderId="0" xfId="47" applyFont="1">
      <alignment/>
      <protection/>
    </xf>
    <xf numFmtId="0" fontId="24" fillId="0" borderId="0" xfId="48" applyFont="1" applyBorder="1">
      <alignment/>
      <protection/>
    </xf>
    <xf numFmtId="3" fontId="26" fillId="24" borderId="0" xfId="47" applyNumberFormat="1" applyFont="1" applyFill="1" applyBorder="1" applyProtection="1">
      <alignment/>
      <protection/>
    </xf>
    <xf numFmtId="0" fontId="13" fillId="0" borderId="14" xfId="48" applyFont="1" applyBorder="1">
      <alignment/>
      <protection/>
    </xf>
    <xf numFmtId="0" fontId="1" fillId="0" borderId="0" xfId="48" applyFont="1" applyBorder="1">
      <alignment/>
      <protection/>
    </xf>
    <xf numFmtId="0" fontId="11" fillId="0" borderId="15" xfId="48" applyFont="1" applyBorder="1">
      <alignment/>
      <protection/>
    </xf>
    <xf numFmtId="0" fontId="9" fillId="0" borderId="15" xfId="47" applyBorder="1">
      <alignment/>
      <protection/>
    </xf>
    <xf numFmtId="0" fontId="11" fillId="0" borderId="16" xfId="48" applyFont="1" applyBorder="1">
      <alignment/>
      <protection/>
    </xf>
    <xf numFmtId="0" fontId="9" fillId="0" borderId="16" xfId="47" applyBorder="1">
      <alignment/>
      <protection/>
    </xf>
    <xf numFmtId="3" fontId="9" fillId="24" borderId="14" xfId="0" applyNumberFormat="1" applyFont="1" applyFill="1" applyBorder="1" applyAlignment="1" applyProtection="1">
      <alignment/>
      <protection/>
    </xf>
    <xf numFmtId="0" fontId="6" fillId="31" borderId="0" xfId="0" applyFont="1" applyFill="1" applyAlignment="1">
      <alignment/>
    </xf>
    <xf numFmtId="0" fontId="9" fillId="30" borderId="0" xfId="47" applyFill="1" applyAlignment="1">
      <alignment horizontal="right"/>
      <protection/>
    </xf>
    <xf numFmtId="10" fontId="9" fillId="32" borderId="16" xfId="0" applyNumberFormat="1" applyFont="1" applyFill="1" applyBorder="1" applyAlignment="1" applyProtection="1">
      <alignment/>
      <protection locked="0"/>
    </xf>
    <xf numFmtId="9" fontId="8" fillId="3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31" borderId="14" xfId="0" applyNumberFormat="1" applyFont="1" applyFill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" fontId="8" fillId="31" borderId="0" xfId="0" applyNumberFormat="1" applyFont="1" applyFill="1" applyBorder="1" applyAlignment="1" applyProtection="1">
      <alignment/>
      <protection locked="0"/>
    </xf>
    <xf numFmtId="3" fontId="12" fillId="24" borderId="15" xfId="0" applyNumberFormat="1" applyFont="1" applyFill="1" applyBorder="1" applyAlignment="1" applyProtection="1">
      <alignment/>
      <protection locked="0"/>
    </xf>
    <xf numFmtId="3" fontId="12" fillId="24" borderId="0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9" fontId="8" fillId="31" borderId="12" xfId="52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10" fontId="12" fillId="24" borderId="14" xfId="52" applyNumberFormat="1" applyFont="1" applyFill="1" applyBorder="1" applyAlignment="1" applyProtection="1">
      <alignment/>
      <protection locked="0"/>
    </xf>
    <xf numFmtId="3" fontId="12" fillId="24" borderId="16" xfId="0" applyNumberFormat="1" applyFont="1" applyFill="1" applyBorder="1" applyAlignment="1" applyProtection="1">
      <alignment/>
      <protection locked="0"/>
    </xf>
    <xf numFmtId="3" fontId="12" fillId="24" borderId="14" xfId="0" applyNumberFormat="1" applyFont="1" applyFill="1" applyBorder="1" applyAlignment="1" applyProtection="1">
      <alignment/>
      <protection locked="0"/>
    </xf>
    <xf numFmtId="172" fontId="12" fillId="30" borderId="14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173" fontId="27" fillId="24" borderId="0" xfId="52" applyNumberFormat="1" applyFont="1" applyFill="1" applyBorder="1" applyAlignment="1" applyProtection="1">
      <alignment/>
      <protection/>
    </xf>
    <xf numFmtId="173" fontId="28" fillId="24" borderId="0" xfId="52" applyNumberFormat="1" applyFont="1" applyFill="1" applyBorder="1" applyAlignment="1" applyProtection="1">
      <alignment/>
      <protection/>
    </xf>
    <xf numFmtId="173" fontId="28" fillId="24" borderId="16" xfId="52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173" fontId="27" fillId="24" borderId="16" xfId="52" applyNumberFormat="1" applyFont="1" applyFill="1" applyBorder="1" applyAlignment="1" applyProtection="1">
      <alignment/>
      <protection/>
    </xf>
    <xf numFmtId="4" fontId="9" fillId="24" borderId="15" xfId="0" applyNumberFormat="1" applyFont="1" applyFill="1" applyBorder="1" applyAlignment="1">
      <alignment/>
    </xf>
    <xf numFmtId="0" fontId="11" fillId="0" borderId="15" xfId="0" applyFont="1" applyBorder="1" applyAlignment="1">
      <alignment horizontal="left"/>
    </xf>
    <xf numFmtId="4" fontId="9" fillId="24" borderId="16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12" fillId="30" borderId="15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12" fillId="30" borderId="16" xfId="0" applyNumberFormat="1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12" fillId="35" borderId="15" xfId="0" applyNumberFormat="1" applyFont="1" applyFill="1" applyBorder="1" applyAlignment="1" applyProtection="1">
      <alignment/>
      <protection locked="0"/>
    </xf>
    <xf numFmtId="173" fontId="27" fillId="35" borderId="0" xfId="52" applyNumberFormat="1" applyFont="1" applyFill="1" applyBorder="1" applyAlignment="1" applyProtection="1">
      <alignment/>
      <protection/>
    </xf>
    <xf numFmtId="3" fontId="12" fillId="35" borderId="0" xfId="0" applyNumberFormat="1" applyFont="1" applyFill="1" applyBorder="1" applyAlignment="1" applyProtection="1">
      <alignment/>
      <protection locked="0"/>
    </xf>
    <xf numFmtId="173" fontId="27" fillId="35" borderId="16" xfId="52" applyNumberFormat="1" applyFont="1" applyFill="1" applyBorder="1" applyAlignment="1" applyProtection="1">
      <alignment/>
      <protection/>
    </xf>
    <xf numFmtId="0" fontId="8" fillId="35" borderId="16" xfId="0" applyFont="1" applyFill="1" applyBorder="1" applyAlignment="1">
      <alignment/>
    </xf>
    <xf numFmtId="3" fontId="12" fillId="35" borderId="14" xfId="0" applyNumberFormat="1" applyFont="1" applyFill="1" applyBorder="1" applyAlignment="1" applyProtection="1">
      <alignment/>
      <protection locked="0"/>
    </xf>
    <xf numFmtId="3" fontId="12" fillId="35" borderId="16" xfId="0" applyNumberFormat="1" applyFont="1" applyFill="1" applyBorder="1" applyAlignment="1" applyProtection="1">
      <alignment/>
      <protection locked="0"/>
    </xf>
    <xf numFmtId="3" fontId="9" fillId="35" borderId="16" xfId="0" applyNumberFormat="1" applyFont="1" applyFill="1" applyBorder="1" applyAlignment="1">
      <alignment/>
    </xf>
    <xf numFmtId="3" fontId="12" fillId="36" borderId="16" xfId="0" applyNumberFormat="1" applyFont="1" applyFill="1" applyBorder="1" applyAlignment="1" applyProtection="1">
      <alignment/>
      <protection locked="0"/>
    </xf>
    <xf numFmtId="173" fontId="28" fillId="35" borderId="0" xfId="52" applyNumberFormat="1" applyFont="1" applyFill="1" applyBorder="1" applyAlignment="1" applyProtection="1">
      <alignment/>
      <protection/>
    </xf>
    <xf numFmtId="173" fontId="28" fillId="35" borderId="16" xfId="52" applyNumberFormat="1" applyFont="1" applyFill="1" applyBorder="1" applyAlignment="1" applyProtection="1">
      <alignment/>
      <protection/>
    </xf>
    <xf numFmtId="3" fontId="9" fillId="35" borderId="14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9" fillId="35" borderId="15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2" fontId="9" fillId="35" borderId="16" xfId="0" applyNumberFormat="1" applyFont="1" applyFill="1" applyBorder="1" applyAlignment="1">
      <alignment/>
    </xf>
    <xf numFmtId="0" fontId="13" fillId="0" borderId="16" xfId="48" applyFont="1" applyBorder="1">
      <alignment/>
      <protection/>
    </xf>
    <xf numFmtId="0" fontId="8" fillId="0" borderId="16" xfId="47" applyFont="1" applyBorder="1">
      <alignment/>
      <protection/>
    </xf>
    <xf numFmtId="3" fontId="8" fillId="31" borderId="16" xfId="47" applyNumberFormat="1" applyFont="1" applyFill="1" applyBorder="1" applyProtection="1">
      <alignment/>
      <protection locked="0"/>
    </xf>
    <xf numFmtId="3" fontId="1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9" fontId="31" fillId="0" borderId="0" xfId="52" applyNumberFormat="1" applyFont="1" applyAlignment="1">
      <alignment/>
    </xf>
    <xf numFmtId="0" fontId="9" fillId="0" borderId="0" xfId="47" applyBorder="1">
      <alignment/>
      <protection/>
    </xf>
    <xf numFmtId="0" fontId="11" fillId="0" borderId="15" xfId="0" applyFont="1" applyBorder="1" applyAlignment="1" applyProtection="1">
      <alignment/>
      <protection locked="0"/>
    </xf>
    <xf numFmtId="3" fontId="9" fillId="35" borderId="14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3" fontId="9" fillId="30" borderId="15" xfId="0" applyNumberFormat="1" applyFont="1" applyFill="1" applyBorder="1" applyAlignment="1">
      <alignment/>
    </xf>
    <xf numFmtId="4" fontId="12" fillId="24" borderId="14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right"/>
      <protection/>
    </xf>
    <xf numFmtId="0" fontId="8" fillId="30" borderId="14" xfId="0" applyFont="1" applyFill="1" applyBorder="1" applyAlignment="1" applyProtection="1">
      <alignment/>
      <protection/>
    </xf>
    <xf numFmtId="0" fontId="8" fillId="30" borderId="0" xfId="0" applyFont="1" applyFill="1" applyBorder="1" applyAlignment="1">
      <alignment/>
    </xf>
    <xf numFmtId="0" fontId="11" fillId="30" borderId="14" xfId="0" applyFont="1" applyFill="1" applyBorder="1" applyAlignment="1" applyProtection="1">
      <alignment/>
      <protection/>
    </xf>
    <xf numFmtId="0" fontId="11" fillId="30" borderId="21" xfId="0" applyFont="1" applyFill="1" applyBorder="1" applyAlignment="1" applyProtection="1">
      <alignment/>
      <protection/>
    </xf>
    <xf numFmtId="0" fontId="11" fillId="30" borderId="22" xfId="0" applyFont="1" applyFill="1" applyBorder="1" applyAlignment="1" applyProtection="1">
      <alignment/>
      <protection/>
    </xf>
    <xf numFmtId="0" fontId="11" fillId="30" borderId="23" xfId="0" applyFont="1" applyFill="1" applyBorder="1" applyAlignment="1" applyProtection="1">
      <alignment/>
      <protection/>
    </xf>
    <xf numFmtId="0" fontId="11" fillId="30" borderId="0" xfId="0" applyFont="1" applyFill="1" applyBorder="1" applyAlignment="1">
      <alignment/>
    </xf>
    <xf numFmtId="0" fontId="11" fillId="30" borderId="14" xfId="0" applyFont="1" applyFill="1" applyBorder="1" applyAlignment="1">
      <alignment/>
    </xf>
    <xf numFmtId="0" fontId="9" fillId="30" borderId="14" xfId="0" applyFont="1" applyFill="1" applyBorder="1" applyAlignment="1">
      <alignment/>
    </xf>
    <xf numFmtId="0" fontId="11" fillId="30" borderId="15" xfId="0" applyFont="1" applyFill="1" applyBorder="1" applyAlignment="1">
      <alignment/>
    </xf>
    <xf numFmtId="0" fontId="11" fillId="30" borderId="16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10" fontId="11" fillId="30" borderId="14" xfId="52" applyNumberFormat="1" applyFont="1" applyFill="1" applyBorder="1" applyAlignment="1">
      <alignment/>
    </xf>
    <xf numFmtId="10" fontId="11" fillId="0" borderId="14" xfId="52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8" fillId="0" borderId="0" xfId="0" applyFont="1" applyAlignment="1" applyProtection="1">
      <alignment horizontal="center"/>
      <protection locked="0"/>
    </xf>
    <xf numFmtId="9" fontId="11" fillId="32" borderId="14" xfId="0" applyNumberFormat="1" applyFont="1" applyFill="1" applyBorder="1" applyAlignment="1" applyProtection="1">
      <alignment/>
      <protection locked="0"/>
    </xf>
    <xf numFmtId="0" fontId="9" fillId="3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0" borderId="0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30" borderId="15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center"/>
    </xf>
    <xf numFmtId="0" fontId="32" fillId="30" borderId="0" xfId="0" applyFont="1" applyFill="1" applyBorder="1" applyAlignment="1">
      <alignment/>
    </xf>
    <xf numFmtId="49" fontId="11" fillId="0" borderId="15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8" fillId="30" borderId="16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11" fillId="3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3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0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30" borderId="16" xfId="0" applyFont="1" applyFill="1" applyBorder="1" applyAlignment="1">
      <alignment horizontal="center"/>
    </xf>
    <xf numFmtId="4" fontId="9" fillId="24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11" fillId="30" borderId="14" xfId="34" applyNumberFormat="1" applyFont="1" applyFill="1" applyBorder="1" applyAlignment="1">
      <alignment/>
    </xf>
    <xf numFmtId="0" fontId="8" fillId="25" borderId="0" xfId="0" applyFont="1" applyFill="1" applyAlignment="1">
      <alignment/>
    </xf>
    <xf numFmtId="3" fontId="12" fillId="25" borderId="15" xfId="0" applyNumberFormat="1" applyFont="1" applyFill="1" applyBorder="1" applyAlignment="1" applyProtection="1">
      <alignment/>
      <protection locked="0"/>
    </xf>
    <xf numFmtId="173" fontId="27" fillId="25" borderId="0" xfId="52" applyNumberFormat="1" applyFont="1" applyFill="1" applyBorder="1" applyAlignment="1" applyProtection="1">
      <alignment/>
      <protection/>
    </xf>
    <xf numFmtId="3" fontId="12" fillId="25" borderId="0" xfId="0" applyNumberFormat="1" applyFont="1" applyFill="1" applyBorder="1" applyAlignment="1" applyProtection="1">
      <alignment/>
      <protection locked="0"/>
    </xf>
    <xf numFmtId="0" fontId="9" fillId="25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8" fillId="25" borderId="16" xfId="47" applyFont="1" applyFill="1" applyBorder="1">
      <alignment/>
      <protection/>
    </xf>
    <xf numFmtId="3" fontId="9" fillId="25" borderId="14" xfId="47" applyNumberFormat="1" applyFont="1" applyFill="1" applyBorder="1" applyProtection="1">
      <alignment/>
      <protection/>
    </xf>
    <xf numFmtId="3" fontId="26" fillId="25" borderId="0" xfId="47" applyNumberFormat="1" applyFont="1" applyFill="1" applyBorder="1" applyProtection="1">
      <alignment/>
      <protection/>
    </xf>
    <xf numFmtId="0" fontId="8" fillId="25" borderId="16" xfId="0" applyFont="1" applyFill="1" applyBorder="1" applyAlignment="1">
      <alignment/>
    </xf>
    <xf numFmtId="3" fontId="9" fillId="25" borderId="14" xfId="0" applyNumberFormat="1" applyFont="1" applyFill="1" applyBorder="1" applyAlignment="1" applyProtection="1">
      <alignment/>
      <protection/>
    </xf>
    <xf numFmtId="3" fontId="9" fillId="25" borderId="16" xfId="0" applyNumberFormat="1" applyFont="1" applyFill="1" applyBorder="1" applyAlignment="1">
      <alignment/>
    </xf>
    <xf numFmtId="173" fontId="28" fillId="25" borderId="0" xfId="52" applyNumberFormat="1" applyFont="1" applyFill="1" applyBorder="1" applyAlignment="1" applyProtection="1">
      <alignment/>
      <protection/>
    </xf>
    <xf numFmtId="173" fontId="28" fillId="25" borderId="16" xfId="52" applyNumberFormat="1" applyFont="1" applyFill="1" applyBorder="1" applyAlignment="1" applyProtection="1">
      <alignment/>
      <protection/>
    </xf>
    <xf numFmtId="3" fontId="11" fillId="30" borderId="0" xfId="0" applyNumberFormat="1" applyFont="1" applyFill="1" applyBorder="1" applyAlignment="1">
      <alignment/>
    </xf>
    <xf numFmtId="3" fontId="11" fillId="30" borderId="15" xfId="0" applyNumberFormat="1" applyFont="1" applyFill="1" applyBorder="1" applyAlignment="1">
      <alignment/>
    </xf>
    <xf numFmtId="0" fontId="9" fillId="30" borderId="0" xfId="47" applyFill="1" applyAlignment="1">
      <alignment vertical="top"/>
      <protection/>
    </xf>
    <xf numFmtId="0" fontId="9" fillId="0" borderId="0" xfId="47" applyAlignment="1">
      <alignment vertical="top"/>
      <protection/>
    </xf>
    <xf numFmtId="4" fontId="12" fillId="30" borderId="0" xfId="47" applyNumberFormat="1" applyFont="1" applyFill="1" applyAlignment="1">
      <alignment vertical="top"/>
      <protection/>
    </xf>
    <xf numFmtId="173" fontId="9" fillId="24" borderId="14" xfId="0" applyNumberFormat="1" applyFont="1" applyFill="1" applyBorder="1" applyAlignment="1">
      <alignment/>
    </xf>
    <xf numFmtId="1" fontId="8" fillId="30" borderId="0" xfId="49" applyNumberFormat="1" applyFont="1" applyFill="1" applyBorder="1" applyProtection="1">
      <alignment/>
      <protection/>
    </xf>
    <xf numFmtId="176" fontId="11" fillId="30" borderId="15" xfId="0" applyNumberFormat="1" applyFont="1" applyFill="1" applyBorder="1" applyAlignment="1" applyProtection="1">
      <alignment/>
      <protection locked="0"/>
    </xf>
    <xf numFmtId="176" fontId="11" fillId="30" borderId="16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4" fontId="9" fillId="24" borderId="16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6" fillId="0" borderId="24" xfId="0" applyFont="1" applyBorder="1" applyAlignment="1">
      <alignment/>
    </xf>
    <xf numFmtId="0" fontId="8" fillId="25" borderId="24" xfId="0" applyFont="1" applyFill="1" applyBorder="1" applyAlignment="1">
      <alignment/>
    </xf>
    <xf numFmtId="3" fontId="9" fillId="25" borderId="25" xfId="0" applyNumberFormat="1" applyFont="1" applyFill="1" applyBorder="1" applyAlignment="1">
      <alignment/>
    </xf>
    <xf numFmtId="3" fontId="9" fillId="25" borderId="24" xfId="0" applyNumberFormat="1" applyFont="1" applyFill="1" applyBorder="1" applyAlignment="1">
      <alignment/>
    </xf>
    <xf numFmtId="3" fontId="9" fillId="25" borderId="26" xfId="0" applyNumberFormat="1" applyFont="1" applyFill="1" applyBorder="1" applyAlignment="1">
      <alignment/>
    </xf>
    <xf numFmtId="3" fontId="9" fillId="39" borderId="27" xfId="0" applyNumberFormat="1" applyFont="1" applyFill="1" applyBorder="1" applyAlignment="1">
      <alignment/>
    </xf>
    <xf numFmtId="3" fontId="9" fillId="25" borderId="27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2" fontId="12" fillId="0" borderId="27" xfId="0" applyNumberFormat="1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6" fillId="0" borderId="25" xfId="0" applyFont="1" applyBorder="1" applyAlignment="1">
      <alignment/>
    </xf>
    <xf numFmtId="2" fontId="9" fillId="25" borderId="25" xfId="0" applyNumberFormat="1" applyFont="1" applyFill="1" applyBorder="1" applyAlignment="1">
      <alignment/>
    </xf>
    <xf numFmtId="2" fontId="9" fillId="25" borderId="26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172" fontId="9" fillId="25" borderId="26" xfId="52" applyNumberFormat="1" applyFont="1" applyFill="1" applyBorder="1" applyAlignment="1">
      <alignment/>
    </xf>
    <xf numFmtId="173" fontId="9" fillId="25" borderId="27" xfId="0" applyNumberFormat="1" applyFont="1" applyFill="1" applyBorder="1" applyAlignment="1">
      <alignment/>
    </xf>
    <xf numFmtId="0" fontId="0" fillId="0" borderId="24" xfId="0" applyBorder="1" applyAlignment="1">
      <alignment/>
    </xf>
    <xf numFmtId="2" fontId="9" fillId="25" borderId="24" xfId="0" applyNumberFormat="1" applyFont="1" applyFill="1" applyBorder="1" applyAlignment="1">
      <alignment/>
    </xf>
    <xf numFmtId="0" fontId="8" fillId="25" borderId="25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right"/>
    </xf>
    <xf numFmtId="0" fontId="6" fillId="0" borderId="29" xfId="0" applyFont="1" applyBorder="1" applyAlignment="1">
      <alignment/>
    </xf>
    <xf numFmtId="3" fontId="11" fillId="0" borderId="29" xfId="0" applyNumberFormat="1" applyFont="1" applyBorder="1" applyAlignment="1">
      <alignment/>
    </xf>
    <xf numFmtId="173" fontId="27" fillId="24" borderId="29" xfId="52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6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12" fillId="24" borderId="30" xfId="0" applyNumberFormat="1" applyFont="1" applyFill="1" applyBorder="1" applyAlignment="1" applyProtection="1">
      <alignment/>
      <protection locked="0"/>
    </xf>
    <xf numFmtId="0" fontId="11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/>
    </xf>
    <xf numFmtId="3" fontId="11" fillId="0" borderId="15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center"/>
      <protection/>
    </xf>
    <xf numFmtId="3" fontId="11" fillId="0" borderId="29" xfId="0" applyNumberFormat="1" applyFont="1" applyBorder="1" applyAlignment="1" applyProtection="1">
      <alignment/>
      <protection/>
    </xf>
    <xf numFmtId="173" fontId="28" fillId="25" borderId="29" xfId="52" applyNumberFormat="1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/>
      <protection/>
    </xf>
    <xf numFmtId="0" fontId="28" fillId="0" borderId="29" xfId="0" applyFont="1" applyBorder="1" applyAlignment="1" applyProtection="1">
      <alignment horizontal="right"/>
      <protection/>
    </xf>
    <xf numFmtId="0" fontId="28" fillId="0" borderId="29" xfId="0" applyFont="1" applyBorder="1" applyAlignment="1" applyProtection="1">
      <alignment horizontal="center"/>
      <protection/>
    </xf>
    <xf numFmtId="173" fontId="12" fillId="35" borderId="14" xfId="52" applyNumberFormat="1" applyFont="1" applyFill="1" applyBorder="1" applyAlignment="1" applyProtection="1">
      <alignment/>
      <protection locked="0"/>
    </xf>
    <xf numFmtId="173" fontId="12" fillId="24" borderId="14" xfId="52" applyNumberFormat="1" applyFont="1" applyFill="1" applyBorder="1" applyAlignment="1" applyProtection="1">
      <alignment/>
      <protection locked="0"/>
    </xf>
    <xf numFmtId="3" fontId="15" fillId="0" borderId="16" xfId="0" applyNumberFormat="1" applyFont="1" applyBorder="1" applyAlignment="1">
      <alignment/>
    </xf>
    <xf numFmtId="10" fontId="12" fillId="35" borderId="14" xfId="52" applyNumberFormat="1" applyFont="1" applyFill="1" applyBorder="1" applyAlignment="1" applyProtection="1">
      <alignment/>
      <protection locked="0"/>
    </xf>
    <xf numFmtId="3" fontId="12" fillId="30" borderId="14" xfId="0" applyNumberFormat="1" applyFont="1" applyFill="1" applyBorder="1" applyAlignment="1" applyProtection="1">
      <alignment/>
      <protection/>
    </xf>
    <xf numFmtId="10" fontId="9" fillId="30" borderId="15" xfId="0" applyNumberFormat="1" applyFont="1" applyFill="1" applyBorder="1" applyAlignment="1" applyProtection="1">
      <alignment/>
      <protection/>
    </xf>
    <xf numFmtId="0" fontId="8" fillId="30" borderId="0" xfId="0" applyFont="1" applyFill="1" applyBorder="1" applyAlignment="1">
      <alignment horizontal="center"/>
    </xf>
    <xf numFmtId="0" fontId="9" fillId="30" borderId="16" xfId="0" applyFont="1" applyFill="1" applyBorder="1" applyAlignment="1">
      <alignment horizontal="center"/>
    </xf>
    <xf numFmtId="0" fontId="24" fillId="0" borderId="0" xfId="0" applyFont="1" applyBorder="1" applyAlignment="1">
      <alignment horizontal="left" indent="2"/>
    </xf>
    <xf numFmtId="0" fontId="24" fillId="0" borderId="0" xfId="0" applyFont="1" applyFill="1" applyBorder="1" applyAlignment="1">
      <alignment/>
    </xf>
    <xf numFmtId="3" fontId="26" fillId="35" borderId="0" xfId="0" applyNumberFormat="1" applyFont="1" applyFill="1" applyBorder="1" applyAlignment="1">
      <alignment/>
    </xf>
    <xf numFmtId="3" fontId="26" fillId="25" borderId="24" xfId="0" applyNumberFormat="1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0" fontId="24" fillId="30" borderId="0" xfId="0" applyFont="1" applyFill="1" applyAlignment="1">
      <alignment horizontal="left" indent="2"/>
    </xf>
    <xf numFmtId="10" fontId="9" fillId="35" borderId="14" xfId="0" applyNumberFormat="1" applyFont="1" applyFill="1" applyBorder="1" applyAlignment="1">
      <alignment/>
    </xf>
    <xf numFmtId="10" fontId="9" fillId="25" borderId="27" xfId="0" applyNumberFormat="1" applyFont="1" applyFill="1" applyBorder="1" applyAlignment="1">
      <alignment/>
    </xf>
    <xf numFmtId="10" fontId="9" fillId="24" borderId="14" xfId="0" applyNumberFormat="1" applyFont="1" applyFill="1" applyBorder="1" applyAlignment="1">
      <alignment/>
    </xf>
    <xf numFmtId="10" fontId="9" fillId="35" borderId="14" xfId="52" applyNumberFormat="1" applyFont="1" applyFill="1" applyBorder="1" applyAlignment="1">
      <alignment/>
    </xf>
    <xf numFmtId="10" fontId="9" fillId="25" borderId="27" xfId="52" applyNumberFormat="1" applyFont="1" applyFill="1" applyBorder="1" applyAlignment="1">
      <alignment/>
    </xf>
    <xf numFmtId="10" fontId="9" fillId="24" borderId="14" xfId="52" applyNumberFormat="1" applyFont="1" applyFill="1" applyBorder="1" applyAlignment="1">
      <alignment/>
    </xf>
    <xf numFmtId="0" fontId="17" fillId="0" borderId="0" xfId="47" applyFont="1" applyAlignment="1">
      <alignment vertical="top"/>
      <protection/>
    </xf>
    <xf numFmtId="0" fontId="17" fillId="0" borderId="0" xfId="47" applyFont="1">
      <alignment/>
      <protection/>
    </xf>
    <xf numFmtId="0" fontId="12" fillId="0" borderId="0" xfId="0" applyFont="1" applyFill="1" applyBorder="1" applyAlignment="1">
      <alignment/>
    </xf>
    <xf numFmtId="1" fontId="12" fillId="0" borderId="0" xfId="0" applyNumberFormat="1" applyFont="1" applyAlignment="1">
      <alignment/>
    </xf>
    <xf numFmtId="3" fontId="12" fillId="0" borderId="0" xfId="47" applyNumberFormat="1" applyFont="1">
      <alignment/>
      <protection/>
    </xf>
    <xf numFmtId="0" fontId="12" fillId="0" borderId="0" xfId="47" applyFont="1">
      <alignment/>
      <protection/>
    </xf>
    <xf numFmtId="3" fontId="12" fillId="30" borderId="0" xfId="0" applyNumberFormat="1" applyFont="1" applyFill="1" applyBorder="1" applyAlignment="1" applyProtection="1">
      <alignment/>
      <protection/>
    </xf>
    <xf numFmtId="3" fontId="12" fillId="30" borderId="15" xfId="0" applyNumberFormat="1" applyFont="1" applyFill="1" applyBorder="1" applyAlignment="1" applyProtection="1">
      <alignment/>
      <protection/>
    </xf>
    <xf numFmtId="3" fontId="12" fillId="30" borderId="16" xfId="0" applyNumberFormat="1" applyFont="1" applyFill="1" applyBorder="1" applyAlignment="1" applyProtection="1">
      <alignment/>
      <protection/>
    </xf>
    <xf numFmtId="3" fontId="9" fillId="25" borderId="16" xfId="47" applyNumberFormat="1" applyFont="1" applyFill="1" applyBorder="1" applyProtection="1">
      <alignment/>
      <protection/>
    </xf>
    <xf numFmtId="3" fontId="9" fillId="24" borderId="16" xfId="47" applyNumberFormat="1" applyFont="1" applyFill="1" applyBorder="1" applyProtection="1">
      <alignment/>
      <protection/>
    </xf>
    <xf numFmtId="0" fontId="10" fillId="0" borderId="24" xfId="0" applyFont="1" applyBorder="1" applyAlignment="1">
      <alignment/>
    </xf>
    <xf numFmtId="3" fontId="12" fillId="24" borderId="25" xfId="0" applyNumberFormat="1" applyFont="1" applyFill="1" applyBorder="1" applyAlignment="1" applyProtection="1">
      <alignment/>
      <protection locked="0"/>
    </xf>
    <xf numFmtId="2" fontId="8" fillId="35" borderId="14" xfId="0" applyNumberFormat="1" applyFont="1" applyFill="1" applyBorder="1" applyAlignment="1">
      <alignment/>
    </xf>
    <xf numFmtId="2" fontId="8" fillId="25" borderId="27" xfId="0" applyNumberFormat="1" applyFont="1" applyFill="1" applyBorder="1" applyAlignment="1">
      <alignment/>
    </xf>
    <xf numFmtId="2" fontId="8" fillId="24" borderId="14" xfId="0" applyNumberFormat="1" applyFont="1" applyFill="1" applyBorder="1" applyAlignment="1">
      <alignment/>
    </xf>
    <xf numFmtId="3" fontId="9" fillId="30" borderId="16" xfId="0" applyNumberFormat="1" applyFont="1" applyFill="1" applyBorder="1" applyAlignment="1">
      <alignment/>
    </xf>
    <xf numFmtId="10" fontId="9" fillId="35" borderId="0" xfId="0" applyNumberFormat="1" applyFont="1" applyFill="1" applyBorder="1" applyAlignment="1">
      <alignment/>
    </xf>
    <xf numFmtId="10" fontId="9" fillId="25" borderId="24" xfId="0" applyNumberFormat="1" applyFont="1" applyFill="1" applyBorder="1" applyAlignment="1">
      <alignment/>
    </xf>
    <xf numFmtId="10" fontId="9" fillId="24" borderId="0" xfId="0" applyNumberFormat="1" applyFont="1" applyFill="1" applyBorder="1" applyAlignment="1">
      <alignment/>
    </xf>
    <xf numFmtId="3" fontId="9" fillId="24" borderId="16" xfId="0" applyNumberFormat="1" applyFont="1" applyFill="1" applyBorder="1" applyAlignment="1" applyProtection="1">
      <alignment/>
      <protection/>
    </xf>
    <xf numFmtId="0" fontId="8" fillId="35" borderId="16" xfId="47" applyFont="1" applyFill="1" applyBorder="1">
      <alignment/>
      <protection/>
    </xf>
    <xf numFmtId="173" fontId="11" fillId="0" borderId="14" xfId="52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9" fontId="12" fillId="30" borderId="0" xfId="52" applyFont="1" applyFill="1" applyBorder="1" applyAlignment="1">
      <alignment horizontal="right"/>
    </xf>
    <xf numFmtId="9" fontId="12" fillId="30" borderId="0" xfId="52" applyFont="1" applyFill="1" applyBorder="1" applyAlignment="1">
      <alignment/>
    </xf>
    <xf numFmtId="0" fontId="11" fillId="30" borderId="0" xfId="0" applyFont="1" applyFill="1" applyAlignment="1">
      <alignment/>
    </xf>
    <xf numFmtId="0" fontId="13" fillId="30" borderId="0" xfId="0" applyFont="1" applyFill="1" applyAlignment="1">
      <alignment/>
    </xf>
    <xf numFmtId="0" fontId="24" fillId="30" borderId="31" xfId="0" applyFont="1" applyFill="1" applyBorder="1" applyAlignment="1">
      <alignment/>
    </xf>
    <xf numFmtId="0" fontId="24" fillId="30" borderId="32" xfId="0" applyFont="1" applyFill="1" applyBorder="1" applyAlignment="1">
      <alignment wrapText="1"/>
    </xf>
    <xf numFmtId="0" fontId="24" fillId="30" borderId="33" xfId="0" applyFont="1" applyFill="1" applyBorder="1" applyAlignment="1">
      <alignment/>
    </xf>
    <xf numFmtId="0" fontId="24" fillId="30" borderId="34" xfId="0" applyFont="1" applyFill="1" applyBorder="1" applyAlignment="1">
      <alignment wrapText="1"/>
    </xf>
    <xf numFmtId="0" fontId="24" fillId="30" borderId="35" xfId="0" applyFont="1" applyFill="1" applyBorder="1" applyAlignment="1">
      <alignment/>
    </xf>
    <xf numFmtId="0" fontId="24" fillId="30" borderId="36" xfId="0" applyFont="1" applyFill="1" applyBorder="1" applyAlignment="1">
      <alignment wrapText="1"/>
    </xf>
    <xf numFmtId="0" fontId="13" fillId="30" borderId="18" xfId="0" applyFont="1" applyFill="1" applyBorder="1" applyAlignment="1">
      <alignment/>
    </xf>
    <xf numFmtId="0" fontId="13" fillId="30" borderId="14" xfId="0" applyFont="1" applyFill="1" applyBorder="1" applyAlignment="1">
      <alignment/>
    </xf>
    <xf numFmtId="0" fontId="13" fillId="30" borderId="37" xfId="0" applyFont="1" applyFill="1" applyBorder="1" applyAlignment="1">
      <alignment/>
    </xf>
    <xf numFmtId="0" fontId="11" fillId="30" borderId="11" xfId="0" applyFont="1" applyFill="1" applyBorder="1" applyAlignment="1">
      <alignment/>
    </xf>
    <xf numFmtId="175" fontId="24" fillId="30" borderId="38" xfId="0" applyNumberFormat="1" applyFont="1" applyFill="1" applyBorder="1" applyAlignment="1">
      <alignment vertical="center"/>
    </xf>
    <xf numFmtId="175" fontId="24" fillId="30" borderId="39" xfId="0" applyNumberFormat="1" applyFont="1" applyFill="1" applyBorder="1" applyAlignment="1">
      <alignment vertical="center"/>
    </xf>
    <xf numFmtId="3" fontId="12" fillId="25" borderId="16" xfId="0" applyNumberFormat="1" applyFont="1" applyFill="1" applyBorder="1" applyAlignment="1" applyProtection="1">
      <alignment/>
      <protection locked="0"/>
    </xf>
    <xf numFmtId="0" fontId="37" fillId="0" borderId="14" xfId="0" applyFont="1" applyFill="1" applyBorder="1" applyAlignment="1">
      <alignment horizontal="right"/>
    </xf>
    <xf numFmtId="10" fontId="31" fillId="0" borderId="14" xfId="0" applyNumberFormat="1" applyFont="1" applyFill="1" applyBorder="1" applyAlignment="1">
      <alignment/>
    </xf>
    <xf numFmtId="10" fontId="10" fillId="0" borderId="14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1" fontId="17" fillId="30" borderId="19" xfId="0" applyNumberFormat="1" applyFont="1" applyFill="1" applyBorder="1" applyAlignment="1" applyProtection="1">
      <alignment/>
      <protection locked="0"/>
    </xf>
    <xf numFmtId="3" fontId="9" fillId="25" borderId="16" xfId="0" applyNumberFormat="1" applyFont="1" applyFill="1" applyBorder="1" applyAlignment="1" applyProtection="1">
      <alignment/>
      <protection/>
    </xf>
    <xf numFmtId="0" fontId="8" fillId="31" borderId="13" xfId="0" applyFont="1" applyFill="1" applyBorder="1" applyAlignment="1">
      <alignment/>
    </xf>
    <xf numFmtId="0" fontId="24" fillId="0" borderId="14" xfId="48" applyFont="1" applyBorder="1">
      <alignment/>
      <protection/>
    </xf>
    <xf numFmtId="0" fontId="26" fillId="0" borderId="14" xfId="47" applyFont="1" applyBorder="1">
      <alignment/>
      <protection/>
    </xf>
    <xf numFmtId="3" fontId="26" fillId="25" borderId="15" xfId="47" applyNumberFormat="1" applyFont="1" applyFill="1" applyBorder="1" applyProtection="1">
      <alignment/>
      <protection/>
    </xf>
    <xf numFmtId="3" fontId="26" fillId="24" borderId="15" xfId="47" applyNumberFormat="1" applyFont="1" applyFill="1" applyBorder="1" applyProtection="1">
      <alignment/>
      <protection/>
    </xf>
    <xf numFmtId="1" fontId="17" fillId="30" borderId="20" xfId="0" applyNumberFormat="1" applyFont="1" applyFill="1" applyBorder="1" applyAlignment="1" applyProtection="1">
      <alignment/>
      <protection locked="0"/>
    </xf>
    <xf numFmtId="175" fontId="24" fillId="30" borderId="40" xfId="0" applyNumberFormat="1" applyFont="1" applyFill="1" applyBorder="1" applyAlignment="1">
      <alignment vertical="center"/>
    </xf>
    <xf numFmtId="0" fontId="12" fillId="30" borderId="0" xfId="49" applyFont="1" applyFill="1" applyBorder="1" applyAlignment="1" applyProtection="1">
      <alignment horizontal="right"/>
      <protection/>
    </xf>
    <xf numFmtId="0" fontId="9" fillId="30" borderId="18" xfId="0" applyFont="1" applyFill="1" applyBorder="1" applyAlignment="1" applyProtection="1">
      <alignment/>
      <protection/>
    </xf>
    <xf numFmtId="175" fontId="24" fillId="30" borderId="18" xfId="0" applyNumberFormat="1" applyFont="1" applyFill="1" applyBorder="1" applyAlignment="1">
      <alignment vertical="center"/>
    </xf>
    <xf numFmtId="0" fontId="24" fillId="30" borderId="14" xfId="0" applyFont="1" applyFill="1" applyBorder="1" applyAlignment="1">
      <alignment/>
    </xf>
    <xf numFmtId="0" fontId="24" fillId="30" borderId="37" xfId="0" applyFont="1" applyFill="1" applyBorder="1" applyAlignment="1">
      <alignment wrapText="1"/>
    </xf>
    <xf numFmtId="3" fontId="11" fillId="35" borderId="16" xfId="0" applyNumberFormat="1" applyFont="1" applyFill="1" applyBorder="1" applyAlignment="1" applyProtection="1">
      <alignment/>
      <protection/>
    </xf>
    <xf numFmtId="3" fontId="67" fillId="25" borderId="14" xfId="47" applyNumberFormat="1" applyFont="1" applyFill="1" applyBorder="1" applyProtection="1">
      <alignment/>
      <protection locked="0"/>
    </xf>
    <xf numFmtId="3" fontId="67" fillId="24" borderId="14" xfId="47" applyNumberFormat="1" applyFont="1" applyFill="1" applyBorder="1" applyProtection="1">
      <alignment/>
      <protection locked="0"/>
    </xf>
    <xf numFmtId="3" fontId="67" fillId="25" borderId="15" xfId="47" applyNumberFormat="1" applyFont="1" applyFill="1" applyBorder="1" applyProtection="1">
      <alignment/>
      <protection locked="0"/>
    </xf>
    <xf numFmtId="3" fontId="67" fillId="24" borderId="15" xfId="47" applyNumberFormat="1" applyFont="1" applyFill="1" applyBorder="1" applyProtection="1">
      <alignment/>
      <protection locked="0"/>
    </xf>
    <xf numFmtId="3" fontId="67" fillId="25" borderId="0" xfId="47" applyNumberFormat="1" applyFont="1" applyFill="1" applyBorder="1" applyProtection="1">
      <alignment/>
      <protection locked="0"/>
    </xf>
    <xf numFmtId="3" fontId="67" fillId="24" borderId="0" xfId="47" applyNumberFormat="1" applyFont="1" applyFill="1" applyBorder="1" applyProtection="1">
      <alignment/>
      <protection locked="0"/>
    </xf>
    <xf numFmtId="3" fontId="67" fillId="25" borderId="16" xfId="47" applyNumberFormat="1" applyFont="1" applyFill="1" applyBorder="1" applyProtection="1">
      <alignment/>
      <protection locked="0"/>
    </xf>
    <xf numFmtId="3" fontId="67" fillId="24" borderId="16" xfId="47" applyNumberFormat="1" applyFont="1" applyFill="1" applyBorder="1" applyProtection="1">
      <alignment/>
      <protection locked="0"/>
    </xf>
    <xf numFmtId="3" fontId="67" fillId="25" borderId="16" xfId="0" applyNumberFormat="1" applyFont="1" applyFill="1" applyBorder="1" applyAlignment="1" applyProtection="1">
      <alignment/>
      <protection locked="0"/>
    </xf>
    <xf numFmtId="3" fontId="67" fillId="24" borderId="16" xfId="0" applyNumberFormat="1" applyFont="1" applyFill="1" applyBorder="1" applyAlignment="1" applyProtection="1">
      <alignment/>
      <protection locked="0"/>
    </xf>
    <xf numFmtId="3" fontId="67" fillId="25" borderId="0" xfId="0" applyNumberFormat="1" applyFont="1" applyFill="1" applyBorder="1" applyAlignment="1" applyProtection="1">
      <alignment/>
      <protection locked="0"/>
    </xf>
    <xf numFmtId="3" fontId="67" fillId="24" borderId="0" xfId="0" applyNumberFormat="1" applyFont="1" applyFill="1" applyBorder="1" applyAlignment="1" applyProtection="1">
      <alignment/>
      <protection locked="0"/>
    </xf>
    <xf numFmtId="3" fontId="67" fillId="25" borderId="15" xfId="0" applyNumberFormat="1" applyFont="1" applyFill="1" applyBorder="1" applyAlignment="1" applyProtection="1">
      <alignment/>
      <protection locked="0"/>
    </xf>
    <xf numFmtId="3" fontId="67" fillId="24" borderId="15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>
      <alignment/>
    </xf>
    <xf numFmtId="3" fontId="67" fillId="25" borderId="14" xfId="0" applyNumberFormat="1" applyFont="1" applyFill="1" applyBorder="1" applyAlignment="1" applyProtection="1">
      <alignment/>
      <protection locked="0"/>
    </xf>
    <xf numFmtId="3" fontId="67" fillId="24" borderId="14" xfId="0" applyNumberFormat="1" applyFont="1" applyFill="1" applyBorder="1" applyAlignment="1" applyProtection="1">
      <alignment/>
      <protection locked="0"/>
    </xf>
    <xf numFmtId="173" fontId="67" fillId="25" borderId="14" xfId="52" applyNumberFormat="1" applyFont="1" applyFill="1" applyBorder="1" applyAlignment="1" applyProtection="1">
      <alignment/>
      <protection locked="0"/>
    </xf>
    <xf numFmtId="173" fontId="67" fillId="24" borderId="14" xfId="52" applyNumberFormat="1" applyFont="1" applyFill="1" applyBorder="1" applyAlignment="1" applyProtection="1">
      <alignment/>
      <protection locked="0"/>
    </xf>
    <xf numFmtId="175" fontId="24" fillId="30" borderId="41" xfId="0" applyNumberFormat="1" applyFont="1" applyFill="1" applyBorder="1" applyAlignment="1">
      <alignment vertical="center"/>
    </xf>
    <xf numFmtId="0" fontId="24" fillId="30" borderId="42" xfId="0" applyFont="1" applyFill="1" applyBorder="1" applyAlignment="1">
      <alignment/>
    </xf>
    <xf numFmtId="0" fontId="24" fillId="30" borderId="43" xfId="0" applyFont="1" applyFill="1" applyBorder="1" applyAlignment="1">
      <alignment wrapText="1"/>
    </xf>
    <xf numFmtId="172" fontId="11" fillId="40" borderId="14" xfId="0" applyNumberFormat="1" applyFont="1" applyFill="1" applyBorder="1" applyAlignment="1" applyProtection="1">
      <alignment/>
      <protection locked="0"/>
    </xf>
    <xf numFmtId="172" fontId="11" fillId="40" borderId="21" xfId="0" applyNumberFormat="1" applyFont="1" applyFill="1" applyBorder="1" applyAlignment="1" applyProtection="1">
      <alignment/>
      <protection locked="0"/>
    </xf>
    <xf numFmtId="172" fontId="11" fillId="40" borderId="22" xfId="0" applyNumberFormat="1" applyFont="1" applyFill="1" applyBorder="1" applyAlignment="1" applyProtection="1">
      <alignment/>
      <protection locked="0"/>
    </xf>
    <xf numFmtId="172" fontId="11" fillId="40" borderId="23" xfId="0" applyNumberFormat="1" applyFont="1" applyFill="1" applyBorder="1" applyAlignment="1" applyProtection="1">
      <alignment/>
      <protection locked="0"/>
    </xf>
    <xf numFmtId="3" fontId="11" fillId="40" borderId="14" xfId="0" applyNumberFormat="1" applyFont="1" applyFill="1" applyBorder="1" applyAlignment="1" applyProtection="1">
      <alignment/>
      <protection locked="0"/>
    </xf>
    <xf numFmtId="10" fontId="67" fillId="25" borderId="25" xfId="52" applyNumberFormat="1" applyFont="1" applyFill="1" applyBorder="1" applyAlignment="1" applyProtection="1">
      <alignment/>
      <protection locked="0"/>
    </xf>
    <xf numFmtId="10" fontId="67" fillId="24" borderId="15" xfId="52" applyNumberFormat="1" applyFont="1" applyFill="1" applyBorder="1" applyAlignment="1" applyProtection="1">
      <alignment/>
      <protection locked="0"/>
    </xf>
    <xf numFmtId="0" fontId="0" fillId="41" borderId="0" xfId="0" applyFill="1" applyAlignment="1">
      <alignment/>
    </xf>
    <xf numFmtId="0" fontId="0" fillId="41" borderId="0" xfId="0" applyFill="1" applyAlignment="1" applyProtection="1">
      <alignment/>
      <protection locked="0"/>
    </xf>
    <xf numFmtId="0" fontId="24" fillId="41" borderId="0" xfId="0" applyFont="1" applyFill="1" applyAlignment="1">
      <alignment/>
    </xf>
    <xf numFmtId="0" fontId="0" fillId="41" borderId="16" xfId="0" applyFill="1" applyBorder="1" applyAlignment="1">
      <alignment/>
    </xf>
    <xf numFmtId="0" fontId="11" fillId="41" borderId="0" xfId="0" applyFont="1" applyFill="1" applyAlignment="1">
      <alignment/>
    </xf>
    <xf numFmtId="0" fontId="0" fillId="41" borderId="10" xfId="0" applyFill="1" applyBorder="1" applyAlignment="1">
      <alignment/>
    </xf>
    <xf numFmtId="0" fontId="11" fillId="41" borderId="44" xfId="0" applyFont="1" applyFill="1" applyBorder="1" applyAlignment="1">
      <alignment/>
    </xf>
    <xf numFmtId="0" fontId="0" fillId="41" borderId="12" xfId="0" applyFill="1" applyBorder="1" applyAlignment="1">
      <alignment/>
    </xf>
    <xf numFmtId="0" fontId="11" fillId="41" borderId="45" xfId="0" applyFont="1" applyFill="1" applyBorder="1" applyAlignment="1">
      <alignment/>
    </xf>
    <xf numFmtId="0" fontId="0" fillId="41" borderId="45" xfId="0" applyFill="1" applyBorder="1" applyAlignment="1">
      <alignment/>
    </xf>
    <xf numFmtId="0" fontId="11" fillId="41" borderId="46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1" fillId="41" borderId="0" xfId="48" applyFill="1">
      <alignment/>
      <protection/>
    </xf>
    <xf numFmtId="0" fontId="1" fillId="41" borderId="12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1" fillId="41" borderId="12" xfId="48" applyFill="1" applyBorder="1">
      <alignment/>
      <protection/>
    </xf>
    <xf numFmtId="0" fontId="1" fillId="41" borderId="12" xfId="48" applyFont="1" applyFill="1" applyBorder="1" applyAlignment="1">
      <alignment/>
      <protection/>
    </xf>
    <xf numFmtId="0" fontId="1" fillId="41" borderId="12" xfId="48" applyFont="1" applyFill="1" applyBorder="1" applyAlignment="1">
      <alignment wrapText="1"/>
      <protection/>
    </xf>
    <xf numFmtId="0" fontId="1" fillId="41" borderId="0" xfId="48" applyFont="1" applyFill="1" applyBorder="1" applyAlignment="1">
      <alignment/>
      <protection/>
    </xf>
    <xf numFmtId="0" fontId="0" fillId="41" borderId="0" xfId="0" applyFill="1" applyAlignment="1" quotePrefix="1">
      <alignment/>
    </xf>
    <xf numFmtId="49" fontId="9" fillId="30" borderId="17" xfId="49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wrapText="1"/>
    </xf>
    <xf numFmtId="0" fontId="11" fillId="30" borderId="0" xfId="0" applyFont="1" applyFill="1" applyAlignment="1">
      <alignment wrapText="1"/>
    </xf>
    <xf numFmtId="0" fontId="13" fillId="30" borderId="14" xfId="0" applyFont="1" applyFill="1" applyBorder="1" applyAlignment="1">
      <alignment wrapText="1"/>
    </xf>
    <xf numFmtId="0" fontId="24" fillId="30" borderId="31" xfId="0" applyFont="1" applyFill="1" applyBorder="1" applyAlignment="1">
      <alignment vertical="center" wrapText="1"/>
    </xf>
    <xf numFmtId="0" fontId="24" fillId="30" borderId="35" xfId="0" applyFont="1" applyFill="1" applyBorder="1" applyAlignment="1">
      <alignment vertical="center" wrapText="1"/>
    </xf>
    <xf numFmtId="0" fontId="24" fillId="30" borderId="33" xfId="0" applyFont="1" applyFill="1" applyBorder="1" applyAlignment="1">
      <alignment vertical="center" wrapText="1"/>
    </xf>
    <xf numFmtId="0" fontId="24" fillId="30" borderId="14" xfId="0" applyFont="1" applyFill="1" applyBorder="1" applyAlignment="1">
      <alignment vertical="center" wrapText="1"/>
    </xf>
    <xf numFmtId="0" fontId="24" fillId="30" borderId="42" xfId="0" applyFont="1" applyFill="1" applyBorder="1" applyAlignment="1">
      <alignment vertical="center" wrapText="1"/>
    </xf>
    <xf numFmtId="0" fontId="24" fillId="30" borderId="43" xfId="0" applyFont="1" applyFill="1" applyBorder="1" applyAlignment="1">
      <alignment vertical="top" wrapText="1"/>
    </xf>
    <xf numFmtId="0" fontId="24" fillId="30" borderId="36" xfId="0" applyFont="1" applyFill="1" applyBorder="1" applyAlignment="1">
      <alignment vertical="top" wrapText="1"/>
    </xf>
    <xf numFmtId="175" fontId="9" fillId="31" borderId="14" xfId="49" applyNumberFormat="1" applyFill="1" applyBorder="1" applyAlignment="1" applyProtection="1">
      <alignment horizontal="left" vertical="center"/>
      <protection locked="0"/>
    </xf>
    <xf numFmtId="175" fontId="9" fillId="0" borderId="14" xfId="49" applyNumberFormat="1" applyBorder="1" applyAlignment="1" applyProtection="1">
      <alignment horizontal="left" vertical="center"/>
      <protection locked="0"/>
    </xf>
    <xf numFmtId="175" fontId="9" fillId="0" borderId="37" xfId="49" applyNumberFormat="1" applyBorder="1" applyAlignment="1" applyProtection="1">
      <alignment horizontal="left" vertical="center"/>
      <protection locked="0"/>
    </xf>
    <xf numFmtId="0" fontId="20" fillId="42" borderId="10" xfId="49" applyFont="1" applyFill="1" applyBorder="1" applyAlignment="1" applyProtection="1">
      <alignment horizontal="center"/>
      <protection/>
    </xf>
    <xf numFmtId="0" fontId="20" fillId="42" borderId="15" xfId="49" applyFont="1" applyFill="1" applyBorder="1" applyAlignment="1" applyProtection="1">
      <alignment/>
      <protection/>
    </xf>
    <xf numFmtId="0" fontId="20" fillId="42" borderId="19" xfId="49" applyFont="1" applyFill="1" applyBorder="1" applyAlignment="1" applyProtection="1">
      <alignment/>
      <protection/>
    </xf>
    <xf numFmtId="0" fontId="19" fillId="30" borderId="10" xfId="49" applyFont="1" applyFill="1" applyBorder="1" applyAlignment="1" applyProtection="1">
      <alignment horizontal="justify" vertical="center" wrapText="1"/>
      <protection/>
    </xf>
    <xf numFmtId="0" fontId="19" fillId="30" borderId="15" xfId="49" applyFont="1" applyFill="1" applyBorder="1" applyAlignment="1" applyProtection="1">
      <alignment horizontal="justify" vertical="center" wrapText="1"/>
      <protection/>
    </xf>
    <xf numFmtId="0" fontId="19" fillId="30" borderId="19" xfId="49" applyFont="1" applyFill="1" applyBorder="1" applyAlignment="1" applyProtection="1">
      <alignment horizontal="justify" vertical="center" wrapText="1"/>
      <protection/>
    </xf>
    <xf numFmtId="0" fontId="19" fillId="30" borderId="11" xfId="49" applyFont="1" applyFill="1" applyBorder="1" applyAlignment="1" applyProtection="1">
      <alignment horizontal="justify" vertical="center" wrapText="1"/>
      <protection/>
    </xf>
    <xf numFmtId="0" fontId="19" fillId="30" borderId="0" xfId="49" applyFont="1" applyFill="1" applyBorder="1" applyAlignment="1" applyProtection="1">
      <alignment horizontal="justify" vertical="center" wrapText="1"/>
      <protection/>
    </xf>
    <xf numFmtId="0" fontId="19" fillId="30" borderId="12" xfId="49" applyFont="1" applyFill="1" applyBorder="1" applyAlignment="1" applyProtection="1">
      <alignment horizontal="justify" vertical="center" wrapText="1"/>
      <protection/>
    </xf>
    <xf numFmtId="0" fontId="19" fillId="30" borderId="13" xfId="49" applyFont="1" applyFill="1" applyBorder="1" applyAlignment="1" applyProtection="1">
      <alignment horizontal="justify" vertical="center" wrapText="1"/>
      <protection/>
    </xf>
    <xf numFmtId="0" fontId="19" fillId="30" borderId="16" xfId="49" applyFont="1" applyFill="1" applyBorder="1" applyAlignment="1" applyProtection="1">
      <alignment horizontal="justify" vertical="center" wrapText="1"/>
      <protection/>
    </xf>
    <xf numFmtId="0" fontId="19" fillId="30" borderId="20" xfId="49" applyFont="1" applyFill="1" applyBorder="1" applyAlignment="1" applyProtection="1">
      <alignment horizontal="justify" vertical="center" wrapText="1"/>
      <protection/>
    </xf>
    <xf numFmtId="49" fontId="9" fillId="31" borderId="14" xfId="49" applyNumberFormat="1" applyFill="1" applyBorder="1" applyAlignment="1" applyProtection="1">
      <alignment horizontal="left"/>
      <protection locked="0"/>
    </xf>
    <xf numFmtId="49" fontId="9" fillId="31" borderId="37" xfId="49" applyNumberFormat="1" applyFill="1" applyBorder="1" applyAlignment="1" applyProtection="1">
      <alignment horizontal="left"/>
      <protection locked="0"/>
    </xf>
    <xf numFmtId="49" fontId="3" fillId="31" borderId="14" xfId="36" applyNumberFormat="1" applyFill="1" applyBorder="1" applyAlignment="1" applyProtection="1">
      <alignment horizontal="left"/>
      <protection locked="0"/>
    </xf>
    <xf numFmtId="49" fontId="9" fillId="31" borderId="14" xfId="49" applyNumberFormat="1" applyFont="1" applyFill="1" applyBorder="1" applyAlignment="1" applyProtection="1">
      <alignment horizontal="left"/>
      <protection locked="0"/>
    </xf>
    <xf numFmtId="0" fontId="19" fillId="30" borderId="11" xfId="49" applyFont="1" applyFill="1" applyBorder="1" applyAlignment="1" applyProtection="1">
      <alignment horizontal="justify" vertical="top" wrapText="1"/>
      <protection/>
    </xf>
    <xf numFmtId="0" fontId="19" fillId="30" borderId="0" xfId="49" applyFont="1" applyFill="1" applyBorder="1" applyAlignment="1" applyProtection="1">
      <alignment horizontal="justify" vertical="top" wrapText="1"/>
      <protection/>
    </xf>
    <xf numFmtId="0" fontId="19" fillId="30" borderId="12" xfId="49" applyFont="1" applyFill="1" applyBorder="1" applyAlignment="1" applyProtection="1">
      <alignment horizontal="justify" vertical="top" wrapText="1"/>
      <protection/>
    </xf>
    <xf numFmtId="0" fontId="19" fillId="30" borderId="13" xfId="49" applyFont="1" applyFill="1" applyBorder="1" applyAlignment="1" applyProtection="1">
      <alignment horizontal="justify" vertical="top" wrapText="1"/>
      <protection/>
    </xf>
    <xf numFmtId="0" fontId="19" fillId="30" borderId="16" xfId="49" applyFont="1" applyFill="1" applyBorder="1" applyAlignment="1" applyProtection="1">
      <alignment horizontal="justify" vertical="top" wrapText="1"/>
      <protection/>
    </xf>
    <xf numFmtId="0" fontId="19" fillId="30" borderId="20" xfId="49" applyFont="1" applyFill="1" applyBorder="1" applyAlignment="1" applyProtection="1">
      <alignment horizontal="justify" vertical="top" wrapText="1"/>
      <protection/>
    </xf>
    <xf numFmtId="0" fontId="22" fillId="42" borderId="10" xfId="49" applyFont="1" applyFill="1" applyBorder="1" applyAlignment="1" applyProtection="1">
      <alignment horizontal="center"/>
      <protection/>
    </xf>
    <xf numFmtId="0" fontId="12" fillId="42" borderId="15" xfId="49" applyFont="1" applyFill="1" applyBorder="1" applyAlignment="1" applyProtection="1">
      <alignment/>
      <protection/>
    </xf>
    <xf numFmtId="0" fontId="12" fillId="42" borderId="19" xfId="49" applyFont="1" applyFill="1" applyBorder="1" applyAlignment="1" applyProtection="1">
      <alignment/>
      <protection/>
    </xf>
    <xf numFmtId="0" fontId="19" fillId="30" borderId="11" xfId="49" applyFont="1" applyFill="1" applyBorder="1" applyAlignment="1" applyProtection="1">
      <alignment horizontal="center" vertical="center" wrapText="1"/>
      <protection/>
    </xf>
    <xf numFmtId="0" fontId="9" fillId="30" borderId="0" xfId="49" applyFill="1" applyBorder="1" applyAlignment="1" applyProtection="1">
      <alignment horizontal="center" vertical="center" wrapText="1"/>
      <protection/>
    </xf>
    <xf numFmtId="0" fontId="9" fillId="30" borderId="12" xfId="49" applyFill="1" applyBorder="1" applyAlignment="1" applyProtection="1">
      <alignment horizontal="center" vertical="center" wrapText="1"/>
      <protection/>
    </xf>
    <xf numFmtId="1" fontId="9" fillId="31" borderId="14" xfId="49" applyNumberFormat="1" applyFont="1" applyFill="1" applyBorder="1" applyAlignment="1" applyProtection="1">
      <alignment horizontal="left"/>
      <protection locked="0"/>
    </xf>
    <xf numFmtId="1" fontId="9" fillId="31" borderId="14" xfId="49" applyNumberFormat="1" applyFill="1" applyBorder="1" applyAlignment="1" applyProtection="1">
      <alignment horizontal="left"/>
      <protection locked="0"/>
    </xf>
    <xf numFmtId="1" fontId="9" fillId="31" borderId="37" xfId="49" applyNumberFormat="1" applyFill="1" applyBorder="1" applyAlignment="1" applyProtection="1">
      <alignment horizontal="left"/>
      <protection locked="0"/>
    </xf>
    <xf numFmtId="49" fontId="9" fillId="31" borderId="14" xfId="49" applyNumberFormat="1" applyFill="1" applyBorder="1" applyAlignment="1" applyProtection="1">
      <alignment horizontal="left" vertical="center"/>
      <protection locked="0"/>
    </xf>
    <xf numFmtId="49" fontId="9" fillId="0" borderId="14" xfId="49" applyNumberFormat="1" applyBorder="1" applyAlignment="1" applyProtection="1">
      <alignment horizontal="left" vertical="center"/>
      <protection locked="0"/>
    </xf>
    <xf numFmtId="49" fontId="9" fillId="0" borderId="37" xfId="49" applyNumberFormat="1" applyBorder="1" applyAlignment="1" applyProtection="1">
      <alignment horizontal="left" vertical="center"/>
      <protection locked="0"/>
    </xf>
    <xf numFmtId="0" fontId="21" fillId="30" borderId="0" xfId="49" applyFont="1" applyFill="1" applyBorder="1" applyAlignment="1" applyProtection="1">
      <alignment horizontal="center"/>
      <protection/>
    </xf>
    <xf numFmtId="0" fontId="21" fillId="30" borderId="0" xfId="49" applyFont="1" applyFill="1" applyBorder="1" applyAlignment="1" applyProtection="1">
      <alignment/>
      <protection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měny_Sešit2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M_Modul_Najem_v1.02" xfId="47"/>
    <cellStyle name="normální_FM_v2.1.4" xfId="48"/>
    <cellStyle name="normální_Sešit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45"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auto="1"/>
      </font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20"/>
        </patternFill>
      </fill>
    </dxf>
    <dxf>
      <font>
        <color indexed="9"/>
      </font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20"/>
        </patternFill>
      </fill>
    </dxf>
    <dxf>
      <font>
        <color indexed="9"/>
      </font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10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62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lor rgb="FFFFFFFF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color auto="1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4F79FF"/>
        </patternFill>
      </fill>
      <border/>
    </dxf>
    <dxf>
      <font>
        <color rgb="FFFFFFFF"/>
      </font>
      <fill>
        <patternFill>
          <bgColor rgb="FF4F79FF"/>
        </patternFill>
      </fill>
      <border/>
    </dxf>
    <dxf>
      <font>
        <color rgb="FFFFFFFF"/>
      </font>
      <fill>
        <patternFill>
          <bgColor rgb="FF79A6FF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79A6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D69"/>
      <rgbColor rgb="004F79FF"/>
      <rgbColor rgb="00969696"/>
      <rgbColor rgb="00003366"/>
      <rgbColor rgb="00339966"/>
      <rgbColor rgb="00003300"/>
      <rgbColor rgb="00333300"/>
      <rgbColor rgb="00993300"/>
      <rgbColor rgb="00993366"/>
      <rgbColor rgb="00FF66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3"/>
          <c:w val="0.916"/>
          <c:h val="0.86225"/>
        </c:manualLayout>
      </c:layout>
      <c:areaChart>
        <c:grouping val="stacked"/>
        <c:varyColors val="0"/>
        <c:ser>
          <c:idx val="0"/>
          <c:order val="0"/>
          <c:tx>
            <c:strRef>
              <c:f>Souhrn!$C$98</c:f>
              <c:strCache>
                <c:ptCount val="1"/>
                <c:pt idx="0">
                  <c:v>Cena pro vodné (ve stálých cenách, vč. DPH)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Souhrn!$F$22:$P$22</c:f>
              <c:numCache/>
            </c:numRef>
          </c:cat>
          <c:val>
            <c:numRef>
              <c:f>Souhrn!$F$98:$P$98</c:f>
              <c:numCache/>
            </c:numRef>
          </c:val>
        </c:ser>
        <c:ser>
          <c:idx val="1"/>
          <c:order val="1"/>
          <c:tx>
            <c:strRef>
              <c:f>Souhrn!$C$99</c:f>
              <c:strCache>
                <c:ptCount val="1"/>
                <c:pt idx="0">
                  <c:v>Cena pro stočné (ve stálých cenách, vč. DPH)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Souhrn!$F$22:$P$22</c:f>
              <c:numCache/>
            </c:numRef>
          </c:cat>
          <c:val>
            <c:numRef>
              <c:f>Souhrn!$F$99:$P$99</c:f>
              <c:numCache/>
            </c:numRef>
          </c:val>
        </c:ser>
        <c:axId val="23012919"/>
        <c:axId val="5789680"/>
      </c:areaChart>
      <c:lineChart>
        <c:grouping val="standard"/>
        <c:varyColors val="0"/>
        <c:ser>
          <c:idx val="2"/>
          <c:order val="2"/>
          <c:tx>
            <c:strRef>
              <c:f>Souhrn!$C$100</c:f>
              <c:strCache>
                <c:ptCount val="1"/>
                <c:pt idx="0">
                  <c:v>Sociálně únosná cena (stále ceny, vč. DPH)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Souhrn!$F$22:$P$22</c:f>
              <c:numCache/>
            </c:numRef>
          </c:cat>
          <c:val>
            <c:numRef>
              <c:f>Souhrn!$F$100:$P$100</c:f>
              <c:numCache/>
            </c:numRef>
          </c:val>
          <c:smooth val="0"/>
        </c:ser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Kč / m3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30129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315"/>
          <c:w val="0.860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4</xdr:row>
      <xdr:rowOff>76200</xdr:rowOff>
    </xdr:from>
    <xdr:to>
      <xdr:col>9</xdr:col>
      <xdr:colOff>1047750</xdr:colOff>
      <xdr:row>5</xdr:row>
      <xdr:rowOff>200025</xdr:rowOff>
    </xdr:to>
    <xdr:pic>
      <xdr:nvPicPr>
        <xdr:cNvPr id="1" name="Picture 8" descr="1887_D_cs_sfzp_symbol_barevny"/>
        <xdr:cNvPicPr preferRelativeResize="1">
          <a:picLocks noChangeAspect="1"/>
        </xdr:cNvPicPr>
      </xdr:nvPicPr>
      <xdr:blipFill>
        <a:blip r:embed="rId1"/>
        <a:srcRect l="21783" t="21783" r="21783" b="21783"/>
        <a:stretch>
          <a:fillRect/>
        </a:stretch>
      </xdr:blipFill>
      <xdr:spPr>
        <a:xfrm>
          <a:off x="5753100" y="971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</xdr:row>
      <xdr:rowOff>95250</xdr:rowOff>
    </xdr:from>
    <xdr:to>
      <xdr:col>9</xdr:col>
      <xdr:colOff>209550</xdr:colOff>
      <xdr:row>5</xdr:row>
      <xdr:rowOff>295275</xdr:rowOff>
    </xdr:to>
    <xdr:pic>
      <xdr:nvPicPr>
        <xdr:cNvPr id="2" name="Picture 17" descr="ministerstvo-zivotniho-prostred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99060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95250</xdr:rowOff>
    </xdr:from>
    <xdr:to>
      <xdr:col>6</xdr:col>
      <xdr:colOff>66675</xdr:colOff>
      <xdr:row>5</xdr:row>
      <xdr:rowOff>295275</xdr:rowOff>
    </xdr:to>
    <xdr:pic>
      <xdr:nvPicPr>
        <xdr:cNvPr id="3" name="Picture 135" descr="Banner OPZP_Fond soudrznosti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990600"/>
          <a:ext cx="2895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0</xdr:rowOff>
    </xdr:from>
    <xdr:to>
      <xdr:col>11</xdr:col>
      <xdr:colOff>200025</xdr:colOff>
      <xdr:row>11</xdr:row>
      <xdr:rowOff>47625</xdr:rowOff>
    </xdr:to>
    <xdr:sp>
      <xdr:nvSpPr>
        <xdr:cNvPr id="1" name="AutoShape 8"/>
        <xdr:cNvSpPr>
          <a:spLocks/>
        </xdr:cNvSpPr>
      </xdr:nvSpPr>
      <xdr:spPr>
        <a:xfrm>
          <a:off x="9982200" y="1762125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5</xdr:row>
      <xdr:rowOff>104775</xdr:rowOff>
    </xdr:from>
    <xdr:to>
      <xdr:col>11</xdr:col>
      <xdr:colOff>200025</xdr:colOff>
      <xdr:row>8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9982200" y="1143000"/>
          <a:ext cx="762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23</xdr:row>
      <xdr:rowOff>123825</xdr:rowOff>
    </xdr:from>
    <xdr:to>
      <xdr:col>12</xdr:col>
      <xdr:colOff>200025</xdr:colOff>
      <xdr:row>24</xdr:row>
      <xdr:rowOff>209550</xdr:rowOff>
    </xdr:to>
    <xdr:sp macro="[0]!Vypocet_najemneho_v">
      <xdr:nvSpPr>
        <xdr:cNvPr id="1" name="AutoShape 4"/>
        <xdr:cNvSpPr>
          <a:spLocks/>
        </xdr:cNvSpPr>
      </xdr:nvSpPr>
      <xdr:spPr>
        <a:xfrm>
          <a:off x="7610475" y="4181475"/>
          <a:ext cx="2209800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23</xdr:row>
      <xdr:rowOff>123825</xdr:rowOff>
    </xdr:from>
    <xdr:to>
      <xdr:col>12</xdr:col>
      <xdr:colOff>190500</xdr:colOff>
      <xdr:row>24</xdr:row>
      <xdr:rowOff>209550</xdr:rowOff>
    </xdr:to>
    <xdr:sp macro="[0]!Vypocet_najemneho_s">
      <xdr:nvSpPr>
        <xdr:cNvPr id="1" name="AutoShape 5"/>
        <xdr:cNvSpPr>
          <a:spLocks/>
        </xdr:cNvSpPr>
      </xdr:nvSpPr>
      <xdr:spPr>
        <a:xfrm>
          <a:off x="7591425" y="4181475"/>
          <a:ext cx="22193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85725</xdr:rowOff>
    </xdr:from>
    <xdr:to>
      <xdr:col>6</xdr:col>
      <xdr:colOff>581025</xdr:colOff>
      <xdr:row>2</xdr:row>
      <xdr:rowOff>85725</xdr:rowOff>
    </xdr:to>
    <xdr:sp>
      <xdr:nvSpPr>
        <xdr:cNvPr id="1" name="Line 25"/>
        <xdr:cNvSpPr>
          <a:spLocks/>
        </xdr:cNvSpPr>
      </xdr:nvSpPr>
      <xdr:spPr>
        <a:xfrm>
          <a:off x="6657975" y="561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85725</xdr:rowOff>
    </xdr:from>
    <xdr:to>
      <xdr:col>6</xdr:col>
      <xdr:colOff>581025</xdr:colOff>
      <xdr:row>2</xdr:row>
      <xdr:rowOff>85725</xdr:rowOff>
    </xdr:to>
    <xdr:sp>
      <xdr:nvSpPr>
        <xdr:cNvPr id="1" name="Line 19"/>
        <xdr:cNvSpPr>
          <a:spLocks/>
        </xdr:cNvSpPr>
      </xdr:nvSpPr>
      <xdr:spPr>
        <a:xfrm>
          <a:off x="6657975" y="561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103</xdr:row>
      <xdr:rowOff>38100</xdr:rowOff>
    </xdr:from>
    <xdr:to>
      <xdr:col>15</xdr:col>
      <xdr:colOff>638175</xdr:colOff>
      <xdr:row>134</xdr:row>
      <xdr:rowOff>76200</xdr:rowOff>
    </xdr:to>
    <xdr:graphicFrame>
      <xdr:nvGraphicFramePr>
        <xdr:cNvPr id="1" name="Chart 5"/>
        <xdr:cNvGraphicFramePr/>
      </xdr:nvGraphicFramePr>
      <xdr:xfrm>
        <a:off x="628650" y="18592800"/>
        <a:ext cx="12420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104775</xdr:rowOff>
    </xdr:from>
    <xdr:to>
      <xdr:col>6</xdr:col>
      <xdr:colOff>590550</xdr:colOff>
      <xdr:row>20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334125" y="38290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N_vII.0.11PP_SF1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utezni_formular_SF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Info"/>
      <sheetName val="Vstupy ex ante"/>
      <sheetName val="Vstupy ex post"/>
      <sheetName val="PP"/>
      <sheetName val="Inv PP pomocny list"/>
      <sheetName val="Investiční náklady"/>
      <sheetName val="PV ex ante"/>
      <sheetName val="PV doplněk"/>
      <sheetName val="PV ex post"/>
      <sheetName val="PV výpočty"/>
      <sheetName val="PV Cena"/>
      <sheetName val="PV PP"/>
      <sheetName val="OV ex ante"/>
      <sheetName val="OV doplněk"/>
      <sheetName val="OV ex post"/>
      <sheetName val="OV výpočty"/>
      <sheetName val="OV Cena"/>
      <sheetName val="Analýza"/>
      <sheetName val="Souhrn"/>
      <sheetName val="OV PP"/>
      <sheetName val="Stručný souhrn"/>
      <sheetName val="Kalkulace"/>
      <sheetName val="Kalkulace pro část roku"/>
      <sheetName val="Kalkulace výpočty"/>
      <sheetName val="Slovník"/>
    </sheetNames>
    <sheetDataSet>
      <sheetData sheetId="2">
        <row r="4">
          <cell r="P4">
            <v>0.1</v>
          </cell>
        </row>
        <row r="10">
          <cell r="E10">
            <v>138.18594339622643</v>
          </cell>
        </row>
        <row r="22">
          <cell r="F22">
            <v>139.98236066037737</v>
          </cell>
          <cell r="G22">
            <v>143.20195495556604</v>
          </cell>
          <cell r="H22">
            <v>146.06599405467736</v>
          </cell>
          <cell r="I22">
            <v>148.9873139357709</v>
          </cell>
          <cell r="J22">
            <v>151.96706021448634</v>
          </cell>
          <cell r="K22">
            <v>155.00640141877608</v>
          </cell>
          <cell r="L22">
            <v>158.10652944715162</v>
          </cell>
          <cell r="M22">
            <v>161.26866003609464</v>
          </cell>
          <cell r="N22">
            <v>164.49403323681653</v>
          </cell>
          <cell r="O22">
            <v>167.78391390155286</v>
          </cell>
          <cell r="P22">
            <v>171.13959217958393</v>
          </cell>
        </row>
      </sheetData>
      <sheetData sheetId="7"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F163">
            <v>0</v>
          </cell>
          <cell r="G163">
            <v>2921</v>
          </cell>
          <cell r="H163">
            <v>2990</v>
          </cell>
          <cell r="I163">
            <v>3105</v>
          </cell>
          <cell r="J163">
            <v>3220</v>
          </cell>
          <cell r="K163">
            <v>3335</v>
          </cell>
          <cell r="L163">
            <v>3335</v>
          </cell>
          <cell r="M163">
            <v>3335</v>
          </cell>
          <cell r="N163">
            <v>3335</v>
          </cell>
          <cell r="O163">
            <v>3335</v>
          </cell>
          <cell r="P163">
            <v>3335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F177">
            <v>0</v>
          </cell>
          <cell r="G177">
            <v>2921</v>
          </cell>
          <cell r="H177">
            <v>2990</v>
          </cell>
          <cell r="I177">
            <v>3105</v>
          </cell>
          <cell r="J177">
            <v>3220</v>
          </cell>
          <cell r="K177">
            <v>3335</v>
          </cell>
          <cell r="L177">
            <v>3335</v>
          </cell>
          <cell r="M177">
            <v>3335</v>
          </cell>
          <cell r="N177">
            <v>3335</v>
          </cell>
          <cell r="O177">
            <v>3335</v>
          </cell>
          <cell r="P177">
            <v>3335</v>
          </cell>
        </row>
        <row r="180">
          <cell r="F180">
            <v>0</v>
          </cell>
          <cell r="G180">
            <v>127</v>
          </cell>
          <cell r="H180">
            <v>130</v>
          </cell>
          <cell r="I180">
            <v>135</v>
          </cell>
          <cell r="J180">
            <v>140</v>
          </cell>
          <cell r="K180">
            <v>145</v>
          </cell>
          <cell r="L180">
            <v>145</v>
          </cell>
          <cell r="M180">
            <v>145</v>
          </cell>
          <cell r="N180">
            <v>145</v>
          </cell>
          <cell r="O180">
            <v>145</v>
          </cell>
          <cell r="P180">
            <v>145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</sheetData>
      <sheetData sheetId="13"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F163">
            <v>0</v>
          </cell>
          <cell r="G163">
            <v>4150</v>
          </cell>
          <cell r="H163">
            <v>5666</v>
          </cell>
          <cell r="I163">
            <v>5952</v>
          </cell>
          <cell r="J163">
            <v>6212</v>
          </cell>
          <cell r="K163">
            <v>6342</v>
          </cell>
          <cell r="L163">
            <v>6342</v>
          </cell>
          <cell r="M163">
            <v>6342</v>
          </cell>
          <cell r="N163">
            <v>6342</v>
          </cell>
          <cell r="O163">
            <v>6342</v>
          </cell>
          <cell r="P163">
            <v>6342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F177">
            <v>0</v>
          </cell>
          <cell r="G177">
            <v>4150</v>
          </cell>
          <cell r="H177">
            <v>5666</v>
          </cell>
          <cell r="I177">
            <v>5952</v>
          </cell>
          <cell r="J177">
            <v>6212</v>
          </cell>
          <cell r="K177">
            <v>6342</v>
          </cell>
          <cell r="L177">
            <v>6342</v>
          </cell>
          <cell r="M177">
            <v>6342</v>
          </cell>
          <cell r="N177">
            <v>6342</v>
          </cell>
          <cell r="O177">
            <v>6342</v>
          </cell>
          <cell r="P177">
            <v>6342</v>
          </cell>
        </row>
        <row r="180">
          <cell r="F180">
            <v>0</v>
          </cell>
          <cell r="G180">
            <v>119</v>
          </cell>
          <cell r="H180">
            <v>174</v>
          </cell>
          <cell r="I180">
            <v>185</v>
          </cell>
          <cell r="J180">
            <v>195</v>
          </cell>
          <cell r="K180">
            <v>200</v>
          </cell>
          <cell r="L180">
            <v>200</v>
          </cell>
          <cell r="M180">
            <v>200</v>
          </cell>
          <cell r="N180">
            <v>200</v>
          </cell>
          <cell r="O180">
            <v>200</v>
          </cell>
          <cell r="P180">
            <v>200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</sheetData>
      <sheetData sheetId="16"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53">
          <cell r="F253">
            <v>0</v>
          </cell>
          <cell r="G253">
            <v>207.5</v>
          </cell>
          <cell r="H253">
            <v>283.3</v>
          </cell>
          <cell r="I253">
            <v>297.6</v>
          </cell>
          <cell r="J253">
            <v>310.6</v>
          </cell>
          <cell r="K253">
            <v>317.1</v>
          </cell>
          <cell r="L253">
            <v>317.1</v>
          </cell>
          <cell r="M253">
            <v>317.1</v>
          </cell>
          <cell r="N253">
            <v>317.1</v>
          </cell>
          <cell r="O253">
            <v>317.1</v>
          </cell>
          <cell r="P253">
            <v>317.1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Info"/>
      <sheetName val="Vstupy Zadavatele"/>
      <sheetName val="Nabidka dodavatele"/>
      <sheetName val="Soutezni cena"/>
    </sheetNames>
    <sheetDataSet>
      <sheetData sheetId="3">
        <row r="20">
          <cell r="F20">
            <v>0.998</v>
          </cell>
        </row>
        <row r="24">
          <cell r="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P38">
            <v>0</v>
          </cell>
        </row>
        <row r="44">
          <cell r="F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O57">
            <v>0</v>
          </cell>
          <cell r="P57">
            <v>0</v>
          </cell>
        </row>
        <row r="58">
          <cell r="P58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149"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3"/>
    <pageSetUpPr fitToPage="1"/>
  </sheetPr>
  <dimension ref="A1:N71"/>
  <sheetViews>
    <sheetView zoomScalePageLayoutView="0" workbookViewId="0" topLeftCell="A7">
      <selection activeCell="E16" sqref="E16:J21"/>
    </sheetView>
  </sheetViews>
  <sheetFormatPr defaultColWidth="0" defaultRowHeight="15" zeroHeight="1"/>
  <cols>
    <col min="1" max="1" width="4.57421875" style="104" customWidth="1"/>
    <col min="2" max="3" width="7.421875" style="104" customWidth="1"/>
    <col min="4" max="4" width="9.140625" style="104" customWidth="1"/>
    <col min="5" max="5" width="10.140625" style="104" bestFit="1" customWidth="1"/>
    <col min="6" max="7" width="10.140625" style="104" customWidth="1"/>
    <col min="8" max="9" width="9.140625" style="104" customWidth="1"/>
    <col min="10" max="10" width="21.140625" style="104" customWidth="1"/>
    <col min="11" max="11" width="4.57421875" style="70" customWidth="1"/>
    <col min="12" max="13" width="9.140625" style="69" hidden="1" customWidth="1"/>
    <col min="14" max="14" width="9.140625" style="70" hidden="1" customWidth="1"/>
    <col min="15" max="15" width="23.421875" style="70" hidden="1" customWidth="1"/>
    <col min="16" max="16" width="24.421875" style="70" hidden="1" customWidth="1"/>
    <col min="17" max="16384" width="9.140625" style="70" hidden="1" customWidth="1"/>
  </cols>
  <sheetData>
    <row r="1" spans="1:11" ht="1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8">
      <c r="A2" s="67"/>
      <c r="B2" s="497" t="str">
        <f>IF(CZ_EN=2,VLOOKUP("Financial model for water sector owners and operators",Slovnik,1,FALSE),VLOOKUP("Financial model for water sector owners and operators",Slovnik,2,FALSE))</f>
        <v>Finanční model pro vlastníky a provozovatele vodohospodářské infrastruktury</v>
      </c>
      <c r="C2" s="498"/>
      <c r="D2" s="498"/>
      <c r="E2" s="498"/>
      <c r="F2" s="498"/>
      <c r="G2" s="498"/>
      <c r="H2" s="498"/>
      <c r="I2" s="498"/>
      <c r="J2" s="499"/>
      <c r="K2" s="68"/>
    </row>
    <row r="3" spans="1:11" ht="12">
      <c r="A3" s="67"/>
      <c r="B3" s="71"/>
      <c r="C3" s="72"/>
      <c r="D3" s="72"/>
      <c r="E3" s="72"/>
      <c r="F3" s="72"/>
      <c r="G3" s="72"/>
      <c r="H3" s="72"/>
      <c r="I3" s="72"/>
      <c r="J3" s="73"/>
      <c r="K3" s="68"/>
    </row>
    <row r="4" spans="1:13" s="80" customFormat="1" ht="25.5" customHeight="1">
      <c r="A4" s="74"/>
      <c r="B4" s="522"/>
      <c r="C4" s="523"/>
      <c r="D4" s="523"/>
      <c r="E4" s="523"/>
      <c r="F4" s="523"/>
      <c r="G4" s="523"/>
      <c r="H4" s="523"/>
      <c r="I4" s="523"/>
      <c r="J4" s="524"/>
      <c r="K4" s="78"/>
      <c r="L4" s="79"/>
      <c r="M4" s="79"/>
    </row>
    <row r="5" spans="1:13" s="80" customFormat="1" ht="25.5" customHeight="1">
      <c r="A5" s="74"/>
      <c r="B5" s="75"/>
      <c r="C5" s="76"/>
      <c r="D5" s="76"/>
      <c r="E5" s="76"/>
      <c r="F5" s="76"/>
      <c r="G5" s="76"/>
      <c r="H5" s="76"/>
      <c r="I5" s="76"/>
      <c r="J5" s="77"/>
      <c r="K5" s="78"/>
      <c r="L5" s="79"/>
      <c r="M5" s="79"/>
    </row>
    <row r="6" spans="1:13" s="80" customFormat="1" ht="25.5" customHeight="1">
      <c r="A6" s="74"/>
      <c r="B6" s="75"/>
      <c r="C6" s="76"/>
      <c r="D6" s="76"/>
      <c r="E6" s="76"/>
      <c r="F6" s="76"/>
      <c r="G6" s="76"/>
      <c r="H6" s="76"/>
      <c r="I6" s="76"/>
      <c r="J6" s="77"/>
      <c r="K6" s="78"/>
      <c r="L6" s="79"/>
      <c r="M6" s="79"/>
    </row>
    <row r="7" spans="1:13" ht="12">
      <c r="A7" s="67"/>
      <c r="B7" s="71"/>
      <c r="C7" s="72"/>
      <c r="D7" s="72"/>
      <c r="E7" s="72"/>
      <c r="F7" s="72"/>
      <c r="G7" s="72"/>
      <c r="H7" s="72"/>
      <c r="I7" s="81" t="str">
        <f>IF(CZ_EN=2,VLOOKUP("Version",Slovnik,1,FALSE),VLOOKUP("Version",Slovnik,2,FALSE))</f>
        <v>Verze</v>
      </c>
      <c r="J7" s="81" t="str">
        <f>IF(CZ_EN=2,VLOOKUP("Date",Slovnik,1,FALSE),VLOOKUP("Date",Slovnik,2,FALSE))</f>
        <v>Datum</v>
      </c>
      <c r="K7" s="68"/>
      <c r="M7" s="70" t="s">
        <v>255</v>
      </c>
    </row>
    <row r="8" spans="1:11" ht="12">
      <c r="A8" s="67"/>
      <c r="B8" s="82"/>
      <c r="C8" s="83"/>
      <c r="D8" s="83"/>
      <c r="E8" s="84"/>
      <c r="F8" s="84"/>
      <c r="G8" s="84"/>
      <c r="H8" s="84"/>
      <c r="I8" s="483" t="s">
        <v>674</v>
      </c>
      <c r="J8" s="85">
        <v>42668</v>
      </c>
      <c r="K8" s="68"/>
    </row>
    <row r="9" spans="1:11" ht="12">
      <c r="A9" s="67"/>
      <c r="B9" s="72"/>
      <c r="C9" s="72"/>
      <c r="D9" s="72"/>
      <c r="E9" s="72"/>
      <c r="F9" s="72"/>
      <c r="G9" s="72"/>
      <c r="H9" s="72"/>
      <c r="I9" s="72"/>
      <c r="J9" s="427"/>
      <c r="K9" s="68"/>
    </row>
    <row r="10" spans="1:11" ht="12.75">
      <c r="A10" s="67"/>
      <c r="B10" s="531" t="str">
        <f>IF(CZ_EN=2,VLOOKUP("This project is co-financed by the European Union",Slovnik,1,FALSE),VLOOKUP("This project is co-financed by the European Union",Slovnik,2,FALSE))</f>
        <v>Tento projekt je spolufinancován Evropskou unií</v>
      </c>
      <c r="C10" s="532" t="s">
        <v>226</v>
      </c>
      <c r="D10" s="532" t="s">
        <v>226</v>
      </c>
      <c r="E10" s="532" t="s">
        <v>226</v>
      </c>
      <c r="F10" s="532" t="s">
        <v>226</v>
      </c>
      <c r="G10" s="532" t="s">
        <v>226</v>
      </c>
      <c r="H10" s="532" t="s">
        <v>226</v>
      </c>
      <c r="I10" s="532" t="s">
        <v>226</v>
      </c>
      <c r="J10" s="532" t="s">
        <v>226</v>
      </c>
      <c r="K10" s="68"/>
    </row>
    <row r="11" spans="1:11" ht="12">
      <c r="A11" s="67"/>
      <c r="B11" s="83"/>
      <c r="C11" s="83"/>
      <c r="D11" s="83"/>
      <c r="E11" s="83"/>
      <c r="F11" s="83"/>
      <c r="G11" s="83"/>
      <c r="H11" s="83"/>
      <c r="I11" s="83"/>
      <c r="J11" s="83"/>
      <c r="K11" s="68"/>
    </row>
    <row r="12" spans="1:11" ht="19.5">
      <c r="A12" s="67"/>
      <c r="B12" s="519" t="str">
        <f>IF(CZ_EN=2,VLOOKUP("Project Reference Data",Slovnik,1,FALSE),VLOOKUP("Project Reference Data",Slovnik,2,FALSE))</f>
        <v>Identifikační údaje</v>
      </c>
      <c r="C12" s="520"/>
      <c r="D12" s="520"/>
      <c r="E12" s="520"/>
      <c r="F12" s="520"/>
      <c r="G12" s="520"/>
      <c r="H12" s="520"/>
      <c r="I12" s="520"/>
      <c r="J12" s="521"/>
      <c r="K12" s="68"/>
    </row>
    <row r="13" spans="1:14" ht="12">
      <c r="A13" s="67"/>
      <c r="B13" s="71"/>
      <c r="C13" s="72"/>
      <c r="D13" s="72"/>
      <c r="E13" s="72"/>
      <c r="F13" s="72"/>
      <c r="G13" s="72"/>
      <c r="H13" s="72"/>
      <c r="I13" s="72"/>
      <c r="J13" s="73"/>
      <c r="K13" s="68"/>
      <c r="N13" s="86"/>
    </row>
    <row r="14" spans="1:11" ht="13.5" customHeight="1">
      <c r="A14" s="67"/>
      <c r="B14" s="87" t="str">
        <f>IF(CZ_EN=2,VLOOKUP("Infrastructure Owner",Slovnik,1,FALSE),VLOOKUP("Infrastructure Owner",Slovnik,2,FALSE))</f>
        <v>Vlastník infrastruktury</v>
      </c>
      <c r="C14" s="88"/>
      <c r="D14" s="88"/>
      <c r="E14" s="89"/>
      <c r="F14" s="89"/>
      <c r="G14" s="89"/>
      <c r="H14" s="89"/>
      <c r="I14" s="89"/>
      <c r="J14" s="90"/>
      <c r="K14" s="68"/>
    </row>
    <row r="15" spans="1:11" ht="12.75">
      <c r="A15" s="67"/>
      <c r="B15" s="71"/>
      <c r="C15" s="72"/>
      <c r="D15" s="72"/>
      <c r="E15" s="91"/>
      <c r="F15" s="91"/>
      <c r="G15" s="72"/>
      <c r="H15" s="72"/>
      <c r="I15" s="72"/>
      <c r="J15" s="92"/>
      <c r="K15" s="68"/>
    </row>
    <row r="16" spans="1:11" ht="12.75" customHeight="1">
      <c r="A16" s="67"/>
      <c r="B16" s="93" t="str">
        <f>IF(CZ_EN=2,VLOOKUP("Name of Owner",Slovnik,1,FALSE),VLOOKUP("Name of Owner",Slovnik,2,FALSE))</f>
        <v>Název vlastníka</v>
      </c>
      <c r="C16" s="94"/>
      <c r="D16" s="94"/>
      <c r="E16" s="525" t="s">
        <v>675</v>
      </c>
      <c r="F16" s="526"/>
      <c r="G16" s="526"/>
      <c r="H16" s="526"/>
      <c r="I16" s="526"/>
      <c r="J16" s="527"/>
      <c r="K16" s="68"/>
    </row>
    <row r="17" spans="1:11" ht="12.75" customHeight="1">
      <c r="A17" s="67"/>
      <c r="B17" s="93" t="str">
        <f>IF(CZ_EN=2,VLOOKUP("Person in charge",Slovnik,1,FALSE),VLOOKUP("Person in charge",Slovnik,2,FALSE))</f>
        <v>Zodpovědná osoba</v>
      </c>
      <c r="C17" s="94"/>
      <c r="D17" s="94"/>
      <c r="E17" s="509" t="s">
        <v>676</v>
      </c>
      <c r="F17" s="509"/>
      <c r="G17" s="509"/>
      <c r="H17" s="509"/>
      <c r="I17" s="509"/>
      <c r="J17" s="510"/>
      <c r="K17" s="68"/>
    </row>
    <row r="18" spans="1:11" ht="12.75" customHeight="1">
      <c r="A18" s="67"/>
      <c r="B18" s="93" t="str">
        <f>IF(CZ_EN=2,VLOOKUP("Contact address",Slovnik,1,FALSE),VLOOKUP("Contact address",Slovnik,2,FALSE))</f>
        <v>Kontaktní adresa</v>
      </c>
      <c r="C18" s="94"/>
      <c r="D18" s="94"/>
      <c r="E18" s="509" t="s">
        <v>677</v>
      </c>
      <c r="F18" s="509"/>
      <c r="G18" s="509"/>
      <c r="H18" s="509"/>
      <c r="I18" s="509"/>
      <c r="J18" s="510"/>
      <c r="K18" s="68"/>
    </row>
    <row r="19" spans="1:11" ht="12.75" customHeight="1">
      <c r="A19" s="67"/>
      <c r="B19" s="93" t="str">
        <f>IF(CZ_EN=2,VLOOKUP("Telephone number",Slovnik,1,FALSE),VLOOKUP("Telephone number",Slovnik,2,FALSE))</f>
        <v>Telefonní číslo</v>
      </c>
      <c r="C19" s="94"/>
      <c r="D19" s="94"/>
      <c r="E19" s="509" t="s">
        <v>678</v>
      </c>
      <c r="F19" s="509"/>
      <c r="G19" s="509"/>
      <c r="H19" s="509"/>
      <c r="I19" s="509"/>
      <c r="J19" s="510"/>
      <c r="K19" s="68"/>
    </row>
    <row r="20" spans="1:11" ht="12.75" customHeight="1">
      <c r="A20" s="67"/>
      <c r="B20" s="93" t="str">
        <f>IF(CZ_EN=2,VLOOKUP("Fax number",Slovnik,1,FALSE),VLOOKUP("Fax number",Slovnik,2,FALSE))</f>
        <v>Fax</v>
      </c>
      <c r="C20" s="94"/>
      <c r="D20" s="94"/>
      <c r="E20" s="509"/>
      <c r="F20" s="509"/>
      <c r="G20" s="509"/>
      <c r="H20" s="509"/>
      <c r="I20" s="509"/>
      <c r="J20" s="510"/>
      <c r="K20" s="68"/>
    </row>
    <row r="21" spans="1:11" ht="12.75" customHeight="1">
      <c r="A21" s="67"/>
      <c r="B21" s="93" t="str">
        <f>IF(CZ_EN=2,VLOOKUP("E-mail",Slovnik,1,FALSE),VLOOKUP("E-mail",Slovnik,2,FALSE))</f>
        <v>E-mail</v>
      </c>
      <c r="C21" s="94"/>
      <c r="D21" s="94"/>
      <c r="E21" s="511" t="s">
        <v>679</v>
      </c>
      <c r="F21" s="509"/>
      <c r="G21" s="509"/>
      <c r="H21" s="509"/>
      <c r="I21" s="509"/>
      <c r="J21" s="510"/>
      <c r="K21" s="68"/>
    </row>
    <row r="22" spans="1:11" ht="12.75" customHeight="1">
      <c r="A22" s="67"/>
      <c r="B22" s="71"/>
      <c r="C22" s="72"/>
      <c r="D22" s="72"/>
      <c r="E22" s="300"/>
      <c r="F22" s="91"/>
      <c r="G22" s="72"/>
      <c r="H22" s="72"/>
      <c r="I22" s="72"/>
      <c r="J22" s="92"/>
      <c r="K22" s="68"/>
    </row>
    <row r="23" spans="1:11" ht="12.75" customHeight="1">
      <c r="A23" s="67"/>
      <c r="B23" s="71"/>
      <c r="C23" s="72"/>
      <c r="D23" s="72"/>
      <c r="E23" s="91"/>
      <c r="F23" s="91"/>
      <c r="G23" s="72"/>
      <c r="H23" s="72"/>
      <c r="I23" s="72"/>
      <c r="J23" s="92"/>
      <c r="K23" s="68"/>
    </row>
    <row r="24" spans="1:11" ht="13.5" customHeight="1">
      <c r="A24" s="67"/>
      <c r="B24" s="87" t="str">
        <f>IF(CZ_EN=2,VLOOKUP("Infrastructure Operator",Slovnik,1,FALSE),VLOOKUP("Infrastructure Operator",Slovnik,2,FALSE))</f>
        <v>Provozovatel infrastruktury</v>
      </c>
      <c r="C24" s="88"/>
      <c r="D24" s="88"/>
      <c r="E24" s="89"/>
      <c r="F24" s="89"/>
      <c r="G24" s="89"/>
      <c r="H24" s="89"/>
      <c r="I24" s="89"/>
      <c r="J24" s="90"/>
      <c r="K24" s="68"/>
    </row>
    <row r="25" spans="1:11" ht="12.75" customHeight="1">
      <c r="A25" s="67"/>
      <c r="B25" s="71"/>
      <c r="C25" s="72"/>
      <c r="D25" s="72"/>
      <c r="E25" s="91"/>
      <c r="F25" s="91"/>
      <c r="G25" s="72"/>
      <c r="H25" s="72"/>
      <c r="I25" s="72"/>
      <c r="J25" s="92"/>
      <c r="K25" s="68"/>
    </row>
    <row r="26" spans="1:11" ht="12.75" customHeight="1">
      <c r="A26" s="67"/>
      <c r="B26" s="93" t="str">
        <f>IF(CZ_EN=2,VLOOKUP("Name of Operator",Slovnik,1,FALSE),VLOOKUP("Name of Operator",Slovnik,2,FALSE))</f>
        <v>Název provozovatele</v>
      </c>
      <c r="C26" s="94"/>
      <c r="D26" s="94"/>
      <c r="E26" s="512"/>
      <c r="F26" s="509"/>
      <c r="G26" s="509"/>
      <c r="H26" s="509"/>
      <c r="I26" s="509"/>
      <c r="J26" s="510"/>
      <c r="K26" s="68"/>
    </row>
    <row r="27" spans="1:11" ht="12.75" customHeight="1">
      <c r="A27" s="67"/>
      <c r="B27" s="93" t="str">
        <f>IF(CZ_EN=2,VLOOKUP("Person in charge",Slovnik,1,FALSE),VLOOKUP("Person in charge",Slovnik,2,FALSE))</f>
        <v>Zodpovědná osoba</v>
      </c>
      <c r="C27" s="94"/>
      <c r="D27" s="94"/>
      <c r="E27" s="509"/>
      <c r="F27" s="509"/>
      <c r="G27" s="509"/>
      <c r="H27" s="509"/>
      <c r="I27" s="509"/>
      <c r="J27" s="510"/>
      <c r="K27" s="68"/>
    </row>
    <row r="28" spans="1:11" ht="12.75" customHeight="1">
      <c r="A28" s="67"/>
      <c r="B28" s="93" t="str">
        <f>IF(CZ_EN=2,VLOOKUP("Contact address",Slovnik,1,FALSE),VLOOKUP("Contact address",Slovnik,2,FALSE))</f>
        <v>Kontaktní adresa</v>
      </c>
      <c r="C28" s="94"/>
      <c r="D28" s="94"/>
      <c r="E28" s="509"/>
      <c r="F28" s="509"/>
      <c r="G28" s="509"/>
      <c r="H28" s="509"/>
      <c r="I28" s="509"/>
      <c r="J28" s="510"/>
      <c r="K28" s="68"/>
    </row>
    <row r="29" spans="1:11" ht="12.75" customHeight="1">
      <c r="A29" s="67"/>
      <c r="B29" s="93" t="str">
        <f>IF(CZ_EN=2,VLOOKUP("Telephone number",Slovnik,1,FALSE),VLOOKUP("Telephone number",Slovnik,2,FALSE))</f>
        <v>Telefonní číslo</v>
      </c>
      <c r="C29" s="94"/>
      <c r="D29" s="94"/>
      <c r="E29" s="509"/>
      <c r="F29" s="509"/>
      <c r="G29" s="509"/>
      <c r="H29" s="509"/>
      <c r="I29" s="509"/>
      <c r="J29" s="510"/>
      <c r="K29" s="68"/>
    </row>
    <row r="30" spans="1:11" ht="12.75" customHeight="1">
      <c r="A30" s="67"/>
      <c r="B30" s="93" t="str">
        <f>IF(CZ_EN=2,VLOOKUP("Fax number",Slovnik,1,FALSE),VLOOKUP("Fax number",Slovnik,2,FALSE))</f>
        <v>Fax</v>
      </c>
      <c r="C30" s="94"/>
      <c r="D30" s="94"/>
      <c r="E30" s="509"/>
      <c r="F30" s="509"/>
      <c r="G30" s="509"/>
      <c r="H30" s="509"/>
      <c r="I30" s="509"/>
      <c r="J30" s="510"/>
      <c r="K30" s="68"/>
    </row>
    <row r="31" spans="1:11" ht="12.75" customHeight="1">
      <c r="A31" s="67"/>
      <c r="B31" s="93" t="str">
        <f>IF(CZ_EN=2,VLOOKUP("E-mail",Slovnik,1,FALSE),VLOOKUP("E-mail",Slovnik,2,FALSE))</f>
        <v>E-mail</v>
      </c>
      <c r="C31" s="94"/>
      <c r="D31" s="94"/>
      <c r="E31" s="509"/>
      <c r="F31" s="509"/>
      <c r="G31" s="509"/>
      <c r="H31" s="509"/>
      <c r="I31" s="509"/>
      <c r="J31" s="510"/>
      <c r="K31" s="68"/>
    </row>
    <row r="32" spans="1:11" ht="12.75" customHeight="1">
      <c r="A32" s="67"/>
      <c r="B32" s="95"/>
      <c r="C32" s="96"/>
      <c r="D32" s="96"/>
      <c r="E32" s="72"/>
      <c r="F32" s="72"/>
      <c r="G32" s="72"/>
      <c r="H32" s="72"/>
      <c r="I32" s="72"/>
      <c r="J32" s="73"/>
      <c r="K32" s="68"/>
    </row>
    <row r="33" spans="1:11" ht="12.75" customHeight="1">
      <c r="A33" s="67"/>
      <c r="B33" s="95"/>
      <c r="C33" s="96"/>
      <c r="D33" s="96"/>
      <c r="E33" s="72"/>
      <c r="F33" s="72"/>
      <c r="G33" s="72"/>
      <c r="H33" s="72"/>
      <c r="I33" s="72"/>
      <c r="J33" s="73"/>
      <c r="K33" s="68"/>
    </row>
    <row r="34" spans="1:12" ht="12.75" customHeight="1">
      <c r="A34" s="67"/>
      <c r="B34" s="97" t="str">
        <f>IF(CZ_EN=2,VLOOKUP("Completed by",Slovnik,1,FALSE),VLOOKUP("Completed by",Slovnik,2,FALSE))</f>
        <v>Vyplnil</v>
      </c>
      <c r="C34" s="98"/>
      <c r="D34" s="99"/>
      <c r="E34" s="528"/>
      <c r="F34" s="529"/>
      <c r="G34" s="529"/>
      <c r="H34" s="529"/>
      <c r="I34" s="529"/>
      <c r="J34" s="530"/>
      <c r="K34" s="68"/>
      <c r="L34" s="100"/>
    </row>
    <row r="35" spans="1:11" ht="12.75" customHeight="1">
      <c r="A35" s="67"/>
      <c r="B35" s="101" t="str">
        <f>IF(CZ_EN=2,VLOOKUP("Date",Slovnik,1,FALSE),VLOOKUP("Date",Slovnik,2,FALSE))</f>
        <v>Datum</v>
      </c>
      <c r="C35" s="102"/>
      <c r="D35" s="103"/>
      <c r="E35" s="494"/>
      <c r="F35" s="495"/>
      <c r="G35" s="495"/>
      <c r="H35" s="495"/>
      <c r="I35" s="495"/>
      <c r="J35" s="496"/>
      <c r="K35" s="68"/>
    </row>
    <row r="36" spans="1:11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9.5">
      <c r="A37" s="67"/>
      <c r="B37" s="519" t="s">
        <v>256</v>
      </c>
      <c r="C37" s="520"/>
      <c r="D37" s="520"/>
      <c r="E37" s="520"/>
      <c r="F37" s="520"/>
      <c r="G37" s="520"/>
      <c r="H37" s="520"/>
      <c r="I37" s="520"/>
      <c r="J37" s="521"/>
      <c r="K37" s="68"/>
    </row>
    <row r="38" spans="1:11" ht="12.75" customHeight="1">
      <c r="A38" s="67"/>
      <c r="B38" s="513" t="str">
        <f>IF(CZ_EN=2,$B$50,$B$62)</f>
        <v>Tento dokument byl připraven pro Operační program Životní prostředí v programovém období 2007 - 2013 jako prostředek k zajištění některých požadavků Evropské komise vztahujících se k provozování vodohospodářské infrastruktury. Předchozí verze tohoto dokumentu II.0.7, II.0.8 a II.0.9 zpracovala společnost MOTT MACDONALD Praha, spol. s r.o. Poskytovatel dokumentu II.0.10 a této verze dokumentu II.0.11, Státní fond životního prostředí ČR, nenese odpovědnost za důsledky užití tohoto dokumentu pro jiné účely, než pro které je určen a neodpovídá za škody a případné ztráty způsobené užitím tohoto dokumentu.</v>
      </c>
      <c r="C38" s="514"/>
      <c r="D38" s="514"/>
      <c r="E38" s="514"/>
      <c r="F38" s="514"/>
      <c r="G38" s="514"/>
      <c r="H38" s="514"/>
      <c r="I38" s="514"/>
      <c r="J38" s="515"/>
      <c r="K38" s="68"/>
    </row>
    <row r="39" spans="1:11" ht="12">
      <c r="A39" s="67"/>
      <c r="B39" s="513"/>
      <c r="C39" s="514"/>
      <c r="D39" s="514"/>
      <c r="E39" s="514"/>
      <c r="F39" s="514"/>
      <c r="G39" s="514"/>
      <c r="H39" s="514"/>
      <c r="I39" s="514"/>
      <c r="J39" s="515"/>
      <c r="K39" s="68"/>
    </row>
    <row r="40" spans="1:11" ht="12">
      <c r="A40" s="67"/>
      <c r="B40" s="513"/>
      <c r="C40" s="514"/>
      <c r="D40" s="514"/>
      <c r="E40" s="514"/>
      <c r="F40" s="514"/>
      <c r="G40" s="514"/>
      <c r="H40" s="514"/>
      <c r="I40" s="514"/>
      <c r="J40" s="515"/>
      <c r="K40" s="68"/>
    </row>
    <row r="41" spans="1:11" ht="12">
      <c r="A41" s="67"/>
      <c r="B41" s="513"/>
      <c r="C41" s="514"/>
      <c r="D41" s="514"/>
      <c r="E41" s="514"/>
      <c r="F41" s="514"/>
      <c r="G41" s="514"/>
      <c r="H41" s="514"/>
      <c r="I41" s="514"/>
      <c r="J41" s="515"/>
      <c r="K41" s="68"/>
    </row>
    <row r="42" spans="1:11" ht="12">
      <c r="A42" s="67"/>
      <c r="B42" s="513"/>
      <c r="C42" s="514"/>
      <c r="D42" s="514"/>
      <c r="E42" s="514"/>
      <c r="F42" s="514"/>
      <c r="G42" s="514"/>
      <c r="H42" s="514"/>
      <c r="I42" s="514"/>
      <c r="J42" s="515"/>
      <c r="K42" s="68"/>
    </row>
    <row r="43" spans="1:11" ht="12">
      <c r="A43" s="67"/>
      <c r="B43" s="513"/>
      <c r="C43" s="514"/>
      <c r="D43" s="514"/>
      <c r="E43" s="514"/>
      <c r="F43" s="514"/>
      <c r="G43" s="514"/>
      <c r="H43" s="514"/>
      <c r="I43" s="514"/>
      <c r="J43" s="515"/>
      <c r="K43" s="68"/>
    </row>
    <row r="44" spans="1:11" ht="12">
      <c r="A44" s="67"/>
      <c r="B44" s="513"/>
      <c r="C44" s="514"/>
      <c r="D44" s="514"/>
      <c r="E44" s="514"/>
      <c r="F44" s="514"/>
      <c r="G44" s="514"/>
      <c r="H44" s="514"/>
      <c r="I44" s="514"/>
      <c r="J44" s="515"/>
      <c r="K44" s="68"/>
    </row>
    <row r="45" spans="1:11" ht="12">
      <c r="A45" s="67"/>
      <c r="B45" s="513"/>
      <c r="C45" s="514"/>
      <c r="D45" s="514"/>
      <c r="E45" s="514"/>
      <c r="F45" s="514"/>
      <c r="G45" s="514"/>
      <c r="H45" s="514"/>
      <c r="I45" s="514"/>
      <c r="J45" s="515"/>
      <c r="K45" s="68"/>
    </row>
    <row r="46" spans="1:11" ht="12">
      <c r="A46" s="67"/>
      <c r="B46" s="513"/>
      <c r="C46" s="514"/>
      <c r="D46" s="514"/>
      <c r="E46" s="514"/>
      <c r="F46" s="514"/>
      <c r="G46" s="514"/>
      <c r="H46" s="514"/>
      <c r="I46" s="514"/>
      <c r="J46" s="515"/>
      <c r="K46" s="68"/>
    </row>
    <row r="47" spans="1:11" ht="12">
      <c r="A47" s="67"/>
      <c r="B47" s="516"/>
      <c r="C47" s="517"/>
      <c r="D47" s="517"/>
      <c r="E47" s="517"/>
      <c r="F47" s="517"/>
      <c r="G47" s="517"/>
      <c r="H47" s="517"/>
      <c r="I47" s="517"/>
      <c r="J47" s="518"/>
      <c r="K47" s="68"/>
    </row>
    <row r="48" spans="1:11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ht="12" hidden="1">
      <c r="B49" s="104" t="s">
        <v>257</v>
      </c>
    </row>
    <row r="50" spans="2:10" ht="15" customHeight="1" hidden="1">
      <c r="B50" s="500" t="s">
        <v>650</v>
      </c>
      <c r="C50" s="501"/>
      <c r="D50" s="501"/>
      <c r="E50" s="501"/>
      <c r="F50" s="501"/>
      <c r="G50" s="501"/>
      <c r="H50" s="501"/>
      <c r="I50" s="501"/>
      <c r="J50" s="502"/>
    </row>
    <row r="51" spans="2:10" ht="15" customHeight="1" hidden="1">
      <c r="B51" s="503"/>
      <c r="C51" s="504"/>
      <c r="D51" s="504"/>
      <c r="E51" s="504"/>
      <c r="F51" s="504"/>
      <c r="G51" s="504"/>
      <c r="H51" s="504"/>
      <c r="I51" s="504"/>
      <c r="J51" s="505"/>
    </row>
    <row r="52" spans="2:10" ht="15" customHeight="1" hidden="1">
      <c r="B52" s="503"/>
      <c r="C52" s="504"/>
      <c r="D52" s="504"/>
      <c r="E52" s="504"/>
      <c r="F52" s="504"/>
      <c r="G52" s="504"/>
      <c r="H52" s="504"/>
      <c r="I52" s="504"/>
      <c r="J52" s="505"/>
    </row>
    <row r="53" spans="2:10" ht="15" customHeight="1" hidden="1">
      <c r="B53" s="503"/>
      <c r="C53" s="504"/>
      <c r="D53" s="504"/>
      <c r="E53" s="504"/>
      <c r="F53" s="504"/>
      <c r="G53" s="504"/>
      <c r="H53" s="504"/>
      <c r="I53" s="504"/>
      <c r="J53" s="505"/>
    </row>
    <row r="54" spans="2:10" ht="15" customHeight="1" hidden="1">
      <c r="B54" s="503"/>
      <c r="C54" s="504"/>
      <c r="D54" s="504"/>
      <c r="E54" s="504"/>
      <c r="F54" s="504"/>
      <c r="G54" s="504"/>
      <c r="H54" s="504"/>
      <c r="I54" s="504"/>
      <c r="J54" s="505"/>
    </row>
    <row r="55" spans="2:10" ht="15" customHeight="1" hidden="1">
      <c r="B55" s="503"/>
      <c r="C55" s="504"/>
      <c r="D55" s="504"/>
      <c r="E55" s="504"/>
      <c r="F55" s="504"/>
      <c r="G55" s="504"/>
      <c r="H55" s="504"/>
      <c r="I55" s="504"/>
      <c r="J55" s="505"/>
    </row>
    <row r="56" spans="2:10" ht="15" customHeight="1" hidden="1">
      <c r="B56" s="503"/>
      <c r="C56" s="504"/>
      <c r="D56" s="504"/>
      <c r="E56" s="504"/>
      <c r="F56" s="504"/>
      <c r="G56" s="504"/>
      <c r="H56" s="504"/>
      <c r="I56" s="504"/>
      <c r="J56" s="505"/>
    </row>
    <row r="57" spans="2:10" ht="15" customHeight="1" hidden="1">
      <c r="B57" s="503"/>
      <c r="C57" s="504"/>
      <c r="D57" s="504"/>
      <c r="E57" s="504"/>
      <c r="F57" s="504"/>
      <c r="G57" s="504"/>
      <c r="H57" s="504"/>
      <c r="I57" s="504"/>
      <c r="J57" s="505"/>
    </row>
    <row r="58" spans="2:10" ht="15" customHeight="1" hidden="1">
      <c r="B58" s="503"/>
      <c r="C58" s="504"/>
      <c r="D58" s="504"/>
      <c r="E58" s="504"/>
      <c r="F58" s="504"/>
      <c r="G58" s="504"/>
      <c r="H58" s="504"/>
      <c r="I58" s="504"/>
      <c r="J58" s="505"/>
    </row>
    <row r="59" spans="2:10" ht="15" customHeight="1" hidden="1">
      <c r="B59" s="506"/>
      <c r="C59" s="507"/>
      <c r="D59" s="507"/>
      <c r="E59" s="507"/>
      <c r="F59" s="507"/>
      <c r="G59" s="507"/>
      <c r="H59" s="507"/>
      <c r="I59" s="507"/>
      <c r="J59" s="508"/>
    </row>
    <row r="61" ht="12" hidden="1">
      <c r="B61" s="104" t="s">
        <v>258</v>
      </c>
    </row>
    <row r="62" spans="2:10" ht="15" customHeight="1" hidden="1">
      <c r="B62" s="500" t="s">
        <v>654</v>
      </c>
      <c r="C62" s="501"/>
      <c r="D62" s="501"/>
      <c r="E62" s="501"/>
      <c r="F62" s="501"/>
      <c r="G62" s="501"/>
      <c r="H62" s="501"/>
      <c r="I62" s="501"/>
      <c r="J62" s="502"/>
    </row>
    <row r="63" spans="2:10" ht="15" customHeight="1" hidden="1">
      <c r="B63" s="503"/>
      <c r="C63" s="504"/>
      <c r="D63" s="504"/>
      <c r="E63" s="504"/>
      <c r="F63" s="504"/>
      <c r="G63" s="504"/>
      <c r="H63" s="504"/>
      <c r="I63" s="504"/>
      <c r="J63" s="505"/>
    </row>
    <row r="64" spans="2:10" ht="15" customHeight="1" hidden="1">
      <c r="B64" s="503"/>
      <c r="C64" s="504"/>
      <c r="D64" s="504"/>
      <c r="E64" s="504"/>
      <c r="F64" s="504"/>
      <c r="G64" s="504"/>
      <c r="H64" s="504"/>
      <c r="I64" s="504"/>
      <c r="J64" s="505"/>
    </row>
    <row r="65" spans="2:10" ht="15" customHeight="1" hidden="1">
      <c r="B65" s="503"/>
      <c r="C65" s="504"/>
      <c r="D65" s="504"/>
      <c r="E65" s="504"/>
      <c r="F65" s="504"/>
      <c r="G65" s="504"/>
      <c r="H65" s="504"/>
      <c r="I65" s="504"/>
      <c r="J65" s="505"/>
    </row>
    <row r="66" spans="2:10" ht="15" customHeight="1" hidden="1">
      <c r="B66" s="503"/>
      <c r="C66" s="504"/>
      <c r="D66" s="504"/>
      <c r="E66" s="504"/>
      <c r="F66" s="504"/>
      <c r="G66" s="504"/>
      <c r="H66" s="504"/>
      <c r="I66" s="504"/>
      <c r="J66" s="505"/>
    </row>
    <row r="67" spans="2:10" ht="15" customHeight="1" hidden="1">
      <c r="B67" s="503"/>
      <c r="C67" s="504"/>
      <c r="D67" s="504"/>
      <c r="E67" s="504"/>
      <c r="F67" s="504"/>
      <c r="G67" s="504"/>
      <c r="H67" s="504"/>
      <c r="I67" s="504"/>
      <c r="J67" s="505"/>
    </row>
    <row r="68" spans="2:10" ht="15" customHeight="1" hidden="1">
      <c r="B68" s="503"/>
      <c r="C68" s="504"/>
      <c r="D68" s="504"/>
      <c r="E68" s="504"/>
      <c r="F68" s="504"/>
      <c r="G68" s="504"/>
      <c r="H68" s="504"/>
      <c r="I68" s="504"/>
      <c r="J68" s="505"/>
    </row>
    <row r="69" spans="2:10" ht="15" customHeight="1" hidden="1">
      <c r="B69" s="503"/>
      <c r="C69" s="504"/>
      <c r="D69" s="504"/>
      <c r="E69" s="504"/>
      <c r="F69" s="504"/>
      <c r="G69" s="504"/>
      <c r="H69" s="504"/>
      <c r="I69" s="504"/>
      <c r="J69" s="505"/>
    </row>
    <row r="70" spans="2:10" ht="15" customHeight="1" hidden="1">
      <c r="B70" s="503"/>
      <c r="C70" s="504"/>
      <c r="D70" s="504"/>
      <c r="E70" s="504"/>
      <c r="F70" s="504"/>
      <c r="G70" s="504"/>
      <c r="H70" s="504"/>
      <c r="I70" s="504"/>
      <c r="J70" s="505"/>
    </row>
    <row r="71" spans="2:10" ht="15" customHeight="1" hidden="1">
      <c r="B71" s="506"/>
      <c r="C71" s="507"/>
      <c r="D71" s="507"/>
      <c r="E71" s="507"/>
      <c r="F71" s="507"/>
      <c r="G71" s="507"/>
      <c r="H71" s="507"/>
      <c r="I71" s="507"/>
      <c r="J71" s="508"/>
    </row>
  </sheetData>
  <sheetProtection password="97A7" sheet="1" objects="1" scenarios="1" formatColumns="0" formatRows="0"/>
  <mergeCells count="22">
    <mergeCell ref="E28:J28"/>
    <mergeCell ref="E34:J34"/>
    <mergeCell ref="B10:J10"/>
    <mergeCell ref="E27:J27"/>
    <mergeCell ref="E29:J29"/>
    <mergeCell ref="E30:J30"/>
    <mergeCell ref="B4:J4"/>
    <mergeCell ref="E20:J20"/>
    <mergeCell ref="E16:J16"/>
    <mergeCell ref="E17:J17"/>
    <mergeCell ref="E18:J18"/>
    <mergeCell ref="B12:J12"/>
    <mergeCell ref="E35:J35"/>
    <mergeCell ref="B2:J2"/>
    <mergeCell ref="B50:J59"/>
    <mergeCell ref="B62:J71"/>
    <mergeCell ref="E19:J19"/>
    <mergeCell ref="E21:J21"/>
    <mergeCell ref="E26:J26"/>
    <mergeCell ref="E31:J31"/>
    <mergeCell ref="B38:J47"/>
    <mergeCell ref="B37:J3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headerFooter alignWithMargins="0">
    <oddFooter>&amp;L&amp;A
&amp;F&amp;C&amp;P celkem &amp;N&amp;R&amp;T
&amp;D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tabColor indexed="52"/>
  </sheetPr>
  <dimension ref="B1:P8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 zeroHeight="1"/>
  <cols>
    <col min="1" max="1" width="5.140625" style="18" customWidth="1"/>
    <col min="2" max="4" width="20.57421875" style="18" customWidth="1"/>
    <col min="5" max="6" width="9.140625" style="18" customWidth="1"/>
    <col min="7" max="7" width="9.8515625" style="18" bestFit="1" customWidth="1"/>
    <col min="8" max="16" width="9.140625" style="18" customWidth="1"/>
    <col min="17" max="17" width="4.421875" style="18" customWidth="1"/>
    <col min="18" max="18" width="5.57421875" style="18" customWidth="1"/>
    <col min="19" max="16384" width="0" style="18" hidden="1" customWidth="1"/>
  </cols>
  <sheetData>
    <row r="1" spans="7:16" ht="12.75">
      <c r="G1" s="31">
        <f>'Vstupy S'!G1</f>
        <v>1</v>
      </c>
      <c r="H1" s="31">
        <f>'Vstupy S'!H1</f>
        <v>1</v>
      </c>
      <c r="I1" s="31">
        <f>'Vstupy S'!I1</f>
        <v>1</v>
      </c>
      <c r="J1" s="31">
        <f>'Vstupy S'!J1</f>
        <v>1</v>
      </c>
      <c r="K1" s="31">
        <f>'Vstupy S'!K1</f>
        <v>1</v>
      </c>
      <c r="L1" s="31">
        <f>'Vstupy S'!L1</f>
        <v>2</v>
      </c>
      <c r="M1" s="31">
        <f>'Vstupy S'!M1</f>
        <v>2</v>
      </c>
      <c r="N1" s="31">
        <f>'Vstupy S'!N1</f>
        <v>2</v>
      </c>
      <c r="O1" s="31">
        <f>'Vstupy S'!O1</f>
        <v>2</v>
      </c>
      <c r="P1" s="31">
        <f>'Vstupy S'!P1</f>
        <v>2</v>
      </c>
    </row>
    <row r="2" spans="2:16" ht="27.75" customHeight="1">
      <c r="B2" s="2" t="str">
        <f>IF(CZ_EN=1,VLOOKUP("VÝPOČTY PRO STOČNÉ",Slovnik,1,0),VLOOKUP("VÝPOČTY PRO STOČNÉ",Slovnik,2,0))</f>
        <v>VÝPOČTY PRO STOČNÉ</v>
      </c>
      <c r="D2" s="10" t="str">
        <f>'Spolecne vstupy'!C17</f>
        <v>rok</v>
      </c>
      <c r="E2" s="209">
        <f>F2-1</f>
        <v>2020</v>
      </c>
      <c r="F2" s="289">
        <f>current</f>
        <v>2021</v>
      </c>
      <c r="G2" s="134">
        <f aca="true" t="shared" si="0" ref="G2:P2">F2+1</f>
        <v>2022</v>
      </c>
      <c r="H2" s="134">
        <f t="shared" si="0"/>
        <v>2023</v>
      </c>
      <c r="I2" s="134">
        <f t="shared" si="0"/>
        <v>2024</v>
      </c>
      <c r="J2" s="134">
        <f t="shared" si="0"/>
        <v>2025</v>
      </c>
      <c r="K2" s="134">
        <f t="shared" si="0"/>
        <v>2026</v>
      </c>
      <c r="L2" s="134">
        <f t="shared" si="0"/>
        <v>2027</v>
      </c>
      <c r="M2" s="134">
        <f t="shared" si="0"/>
        <v>2028</v>
      </c>
      <c r="N2" s="134">
        <f t="shared" si="0"/>
        <v>2029</v>
      </c>
      <c r="O2" s="134">
        <f t="shared" si="0"/>
        <v>2030</v>
      </c>
      <c r="P2" s="134">
        <f t="shared" si="0"/>
        <v>2031</v>
      </c>
    </row>
    <row r="3" spans="2:16" ht="12.75">
      <c r="B3" s="24" t="str">
        <f>CONCATENATE(IF(CZ_EN=1,VLOOKUP("Provozní majetek",Slovnik,1,0),VLOOKUP("Provozní majetek",Slovnik,2,0))," ",IF(CZ_EN=1,VLOOKUP("(za celou společnost)",Slovnik,1,0),VLOOKUP("(za celou společnost)",Slovnik,2,0)))</f>
        <v>Provozní majetek (za celou společnost)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 ht="12">
      <c r="B4" s="41" t="str">
        <f>IF(CZ_EN=1,VLOOKUP("Počáteční hodnota",Slovnik,1,0),VLOOKUP("Počáteční hodnota",Slovnik,2,0))</f>
        <v>Počáteční hodnota</v>
      </c>
      <c r="C4" s="41"/>
      <c r="D4" s="41"/>
      <c r="E4" s="51"/>
      <c r="F4" s="51">
        <f aca="true" t="shared" si="1" ref="F4:P4">E9</f>
        <v>0</v>
      </c>
      <c r="G4" s="51">
        <f t="shared" si="1"/>
        <v>0</v>
      </c>
      <c r="H4" s="51">
        <f t="shared" si="1"/>
        <v>0</v>
      </c>
      <c r="I4" s="51">
        <f t="shared" si="1"/>
        <v>0</v>
      </c>
      <c r="J4" s="51">
        <f t="shared" si="1"/>
        <v>0</v>
      </c>
      <c r="K4" s="51">
        <f t="shared" si="1"/>
        <v>0</v>
      </c>
      <c r="L4" s="51">
        <f t="shared" si="1"/>
        <v>0</v>
      </c>
      <c r="M4" s="51">
        <f t="shared" si="1"/>
        <v>0</v>
      </c>
      <c r="N4" s="51">
        <f t="shared" si="1"/>
        <v>0</v>
      </c>
      <c r="O4" s="51">
        <f t="shared" si="1"/>
        <v>0</v>
      </c>
      <c r="P4" s="51">
        <f t="shared" si="1"/>
        <v>0</v>
      </c>
    </row>
    <row r="5" spans="2:16" ht="12">
      <c r="B5" s="44" t="str">
        <f>IF(CZ_EN=1,VLOOKUP("Odpisy",Slovnik,1,0),VLOOKUP("Odpisy",Slovnik,2,0))</f>
        <v>Odpisy</v>
      </c>
      <c r="C5" s="44"/>
      <c r="D5" s="44"/>
      <c r="E5" s="53">
        <f>'Spolecne vstupy'!E29</f>
        <v>0</v>
      </c>
      <c r="F5" s="53">
        <f>'Spolecne vstupy'!F29</f>
        <v>0</v>
      </c>
      <c r="G5" s="53">
        <f>'Spolecne vstupy'!G29</f>
        <v>0</v>
      </c>
      <c r="H5" s="53">
        <f>'Spolecne vstupy'!H29</f>
        <v>0</v>
      </c>
      <c r="I5" s="53">
        <f>'Spolecne vstupy'!I29</f>
        <v>0</v>
      </c>
      <c r="J5" s="53">
        <f>'Spolecne vstupy'!J29</f>
        <v>0</v>
      </c>
      <c r="K5" s="53">
        <f>'Spolecne vstupy'!K29</f>
        <v>0</v>
      </c>
      <c r="L5" s="53">
        <f>'Spolecne vstupy'!L29</f>
        <v>0</v>
      </c>
      <c r="M5" s="53">
        <f>'Spolecne vstupy'!M29</f>
        <v>0</v>
      </c>
      <c r="N5" s="53">
        <f>'Spolecne vstupy'!N29</f>
        <v>0</v>
      </c>
      <c r="O5" s="53">
        <f>'Spolecne vstupy'!O29</f>
        <v>0</v>
      </c>
      <c r="P5" s="53">
        <f>'Spolecne vstupy'!P29</f>
        <v>0</v>
      </c>
    </row>
    <row r="6" spans="2:16" ht="12">
      <c r="B6" s="44" t="str">
        <f>IF(CZ_EN=1,VLOOKUP("Odprodej",Slovnik,1,0),VLOOKUP("Odprodej",Slovnik,2,0))</f>
        <v>Odprodej</v>
      </c>
      <c r="C6" s="44"/>
      <c r="D6" s="44"/>
      <c r="E6" s="53">
        <f>'Spolecne vstupy'!E59</f>
        <v>0</v>
      </c>
      <c r="F6" s="53">
        <f>'Spolecne vstupy'!F59</f>
        <v>0</v>
      </c>
      <c r="G6" s="53">
        <f>'Spolecne vstupy'!G59</f>
        <v>0</v>
      </c>
      <c r="H6" s="53">
        <f>'Spolecne vstupy'!H59</f>
        <v>0</v>
      </c>
      <c r="I6" s="53">
        <f>'Spolecne vstupy'!I59</f>
        <v>0</v>
      </c>
      <c r="J6" s="53">
        <f>'Spolecne vstupy'!J59</f>
        <v>0</v>
      </c>
      <c r="K6" s="53">
        <f>'Spolecne vstupy'!K59</f>
        <v>0</v>
      </c>
      <c r="L6" s="53">
        <f>'Spolecne vstupy'!L59</f>
        <v>0</v>
      </c>
      <c r="M6" s="53">
        <f>'Spolecne vstupy'!M59</f>
        <v>0</v>
      </c>
      <c r="N6" s="53">
        <f>'Spolecne vstupy'!N59</f>
        <v>0</v>
      </c>
      <c r="O6" s="53">
        <f>'Spolecne vstupy'!O59</f>
        <v>0</v>
      </c>
      <c r="P6" s="53">
        <f>'Spolecne vstupy'!P59</f>
        <v>0</v>
      </c>
    </row>
    <row r="7" spans="2:16" ht="12">
      <c r="B7" s="44" t="str">
        <f>IF(CZ_EN=1,VLOOKUP("Investice",Slovnik,1,0),VLOOKUP("Investice",Slovnik,2,0))</f>
        <v>Investice</v>
      </c>
      <c r="C7" s="44"/>
      <c r="D7" s="44"/>
      <c r="E7" s="53">
        <f>'Spolecne vstupy'!E32</f>
        <v>0</v>
      </c>
      <c r="F7" s="53">
        <f>'Spolecne vstupy'!F32</f>
        <v>0</v>
      </c>
      <c r="G7" s="53">
        <f>'Spolecne vstupy'!G32</f>
        <v>0</v>
      </c>
      <c r="H7" s="53">
        <f>'Spolecne vstupy'!H32</f>
        <v>0</v>
      </c>
      <c r="I7" s="53">
        <f>'Spolecne vstupy'!I32</f>
        <v>0</v>
      </c>
      <c r="J7" s="53">
        <f>'Spolecne vstupy'!J32</f>
        <v>0</v>
      </c>
      <c r="K7" s="53">
        <f>'Spolecne vstupy'!K32</f>
        <v>0</v>
      </c>
      <c r="L7" s="53">
        <f>'Spolecne vstupy'!L32</f>
        <v>0</v>
      </c>
      <c r="M7" s="53">
        <f>'Spolecne vstupy'!M32</f>
        <v>0</v>
      </c>
      <c r="N7" s="53">
        <f>'Spolecne vstupy'!N32</f>
        <v>0</v>
      </c>
      <c r="O7" s="53">
        <f>'Spolecne vstupy'!O32</f>
        <v>0</v>
      </c>
      <c r="P7" s="53">
        <f>'Spolecne vstupy'!P32</f>
        <v>0</v>
      </c>
    </row>
    <row r="8" spans="2:16" ht="12">
      <c r="B8" s="44" t="str">
        <f>IF(CZ_EN=1,VLOOKUP("Odpisy investic",Slovnik,1,0),VLOOKUP("Odpisy investic",Slovnik,2,0))</f>
        <v>Odpisy investic</v>
      </c>
      <c r="C8" s="44"/>
      <c r="D8" s="44"/>
      <c r="E8" s="44">
        <v>0</v>
      </c>
      <c r="F8" s="53">
        <f>'Spolecne vstupy'!F57</f>
        <v>0</v>
      </c>
      <c r="G8" s="53">
        <f>'Spolecne vstupy'!G57</f>
        <v>0</v>
      </c>
      <c r="H8" s="53">
        <f>'Spolecne vstupy'!H57</f>
        <v>0</v>
      </c>
      <c r="I8" s="53">
        <f>'Spolecne vstupy'!I57</f>
        <v>0</v>
      </c>
      <c r="J8" s="53">
        <f>'Spolecne vstupy'!J57</f>
        <v>0</v>
      </c>
      <c r="K8" s="53">
        <f>'Spolecne vstupy'!K57</f>
        <v>0</v>
      </c>
      <c r="L8" s="53">
        <f>'Spolecne vstupy'!L57</f>
        <v>0</v>
      </c>
      <c r="M8" s="53">
        <f>'Spolecne vstupy'!M57</f>
        <v>0</v>
      </c>
      <c r="N8" s="53">
        <f>'Spolecne vstupy'!N57</f>
        <v>0</v>
      </c>
      <c r="O8" s="53">
        <f>'Spolecne vstupy'!O57</f>
        <v>0</v>
      </c>
      <c r="P8" s="53">
        <f>'Spolecne vstupy'!P57</f>
        <v>0</v>
      </c>
    </row>
    <row r="9" spans="2:16" ht="12">
      <c r="B9" s="44" t="str">
        <f>IF(CZ_EN=1,VLOOKUP("Konečná hodnota",Slovnik,1,0),VLOOKUP("Konečná hodnota",Slovnik,2,0))</f>
        <v>Konečná hodnota</v>
      </c>
      <c r="C9" s="44"/>
      <c r="D9" s="44"/>
      <c r="E9" s="53">
        <f>'Spolecne vstupy'!E25</f>
        <v>0</v>
      </c>
      <c r="F9" s="53">
        <f aca="true" t="shared" si="2" ref="F9:P9">F4-F5-F6+F7-F8</f>
        <v>0</v>
      </c>
      <c r="G9" s="53">
        <f t="shared" si="2"/>
        <v>0</v>
      </c>
      <c r="H9" s="53">
        <f t="shared" si="2"/>
        <v>0</v>
      </c>
      <c r="I9" s="53">
        <f t="shared" si="2"/>
        <v>0</v>
      </c>
      <c r="J9" s="53">
        <f t="shared" si="2"/>
        <v>0</v>
      </c>
      <c r="K9" s="53">
        <f t="shared" si="2"/>
        <v>0</v>
      </c>
      <c r="L9" s="53">
        <f t="shared" si="2"/>
        <v>0</v>
      </c>
      <c r="M9" s="53">
        <f t="shared" si="2"/>
        <v>0</v>
      </c>
      <c r="N9" s="53">
        <f t="shared" si="2"/>
        <v>0</v>
      </c>
      <c r="O9" s="53">
        <f t="shared" si="2"/>
        <v>0</v>
      </c>
      <c r="P9" s="53">
        <f t="shared" si="2"/>
        <v>0</v>
      </c>
    </row>
    <row r="10" spans="2:16" ht="12">
      <c r="B10" s="15" t="str">
        <f>IF(CZ_EN=1,VLOOKUP("Přidělení provozního majetku na danou službu",Slovnik,1,0),VLOOKUP("Přidělení provozního majetku na danou službu",Slovnik,2,0))</f>
        <v>Přidělení provozního majetku na danou službu</v>
      </c>
      <c r="C10" s="15"/>
      <c r="D10" s="15"/>
      <c r="E10" s="115">
        <f>E9*'Vstupy S'!E70</f>
        <v>0</v>
      </c>
      <c r="F10" s="115">
        <f>F9*'Vstupy S'!F70</f>
        <v>0</v>
      </c>
      <c r="G10" s="115">
        <f>G9*'Vstupy S'!G70</f>
        <v>0</v>
      </c>
      <c r="H10" s="115">
        <f>H9*'Vstupy S'!H70</f>
        <v>0</v>
      </c>
      <c r="I10" s="115">
        <f>I9*'Vstupy S'!I70</f>
        <v>0</v>
      </c>
      <c r="J10" s="115">
        <f>J9*'Vstupy S'!J70</f>
        <v>0</v>
      </c>
      <c r="K10" s="115">
        <f>K9*'Vstupy S'!K70</f>
        <v>0</v>
      </c>
      <c r="L10" s="115">
        <f>L9*'Vstupy S'!L70</f>
        <v>0</v>
      </c>
      <c r="M10" s="115">
        <f>M9*'Vstupy S'!M70</f>
        <v>0</v>
      </c>
      <c r="N10" s="115">
        <f>N9*'Vstupy S'!N70</f>
        <v>0</v>
      </c>
      <c r="O10" s="115">
        <f>O9*'Vstupy S'!O70</f>
        <v>0</v>
      </c>
      <c r="P10" s="115">
        <f>P9*'Vstupy S'!P70</f>
        <v>0</v>
      </c>
    </row>
    <row r="11" spans="5:16" ht="12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ht="12.75">
      <c r="B12" s="24" t="str">
        <f>IF(CZ_EN=1,VLOOKUP("Přidělený provozní NEBO infrastrukturní majetek",Slovnik,1,0),VLOOKUP("Přidělený provozní NEBO infrastrukturní majetek",Slovnik,2,0))</f>
        <v>Přidělený provozní NEBO infrastrukturní majetek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ht="12">
      <c r="B13" s="41" t="str">
        <f>IF(CZ_EN=1,VLOOKUP("Počáteční hodnota",Slovnik,1,0),VLOOKUP("Počáteční hodnota",Slovnik,2,0))</f>
        <v>Počáteční hodnota</v>
      </c>
      <c r="C13" s="41"/>
      <c r="D13" s="41"/>
      <c r="E13" s="51"/>
      <c r="F13" s="51">
        <f aca="true" t="shared" si="3" ref="F13:P13">E18</f>
        <v>0</v>
      </c>
      <c r="G13" s="51">
        <f t="shared" si="3"/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</row>
    <row r="14" spans="2:16" ht="12">
      <c r="B14" s="44" t="str">
        <f>IF(CZ_EN=1,VLOOKUP("Odpisy",Slovnik,1,0),VLOOKUP("Odpisy",Slovnik,2,0))</f>
        <v>Odpisy</v>
      </c>
      <c r="C14" s="44"/>
      <c r="D14" s="44"/>
      <c r="E14" s="53">
        <f>'Vstupy S'!E37</f>
        <v>0</v>
      </c>
      <c r="F14" s="53">
        <f>'Vstupy S'!F37</f>
        <v>0</v>
      </c>
      <c r="G14" s="53">
        <f>'Vstupy S'!G37</f>
        <v>0</v>
      </c>
      <c r="H14" s="53">
        <f>'Vstupy S'!H37</f>
        <v>0</v>
      </c>
      <c r="I14" s="53">
        <f>'Vstupy S'!I37</f>
        <v>0</v>
      </c>
      <c r="J14" s="53">
        <f>'Vstupy S'!J37</f>
        <v>0</v>
      </c>
      <c r="K14" s="53">
        <f>'Vstupy S'!K37</f>
        <v>0</v>
      </c>
      <c r="L14" s="53">
        <f>'Vstupy S'!L37</f>
        <v>0</v>
      </c>
      <c r="M14" s="53">
        <f>'Vstupy S'!M37</f>
        <v>0</v>
      </c>
      <c r="N14" s="53">
        <f>'Vstupy S'!N37</f>
        <v>0</v>
      </c>
      <c r="O14" s="53">
        <f>'Vstupy S'!O37</f>
        <v>0</v>
      </c>
      <c r="P14" s="53">
        <f>'Vstupy S'!P37</f>
        <v>0</v>
      </c>
    </row>
    <row r="15" spans="2:16" ht="12">
      <c r="B15" s="44" t="str">
        <f>IF(CZ_EN=1,VLOOKUP("Odprodej",Slovnik,1,0),VLOOKUP("Odprodej",Slovnik,2,0))</f>
        <v>Odprodej</v>
      </c>
      <c r="C15" s="44"/>
      <c r="D15" s="44"/>
      <c r="E15" s="53">
        <f>'Vstupy S'!E67</f>
        <v>0</v>
      </c>
      <c r="F15" s="53">
        <f>'Vstupy S'!F67</f>
        <v>0</v>
      </c>
      <c r="G15" s="53">
        <f>'Vstupy S'!G67</f>
        <v>0</v>
      </c>
      <c r="H15" s="53">
        <f>'Vstupy S'!H67</f>
        <v>0</v>
      </c>
      <c r="I15" s="53">
        <f>'Vstupy S'!I67</f>
        <v>0</v>
      </c>
      <c r="J15" s="53">
        <f>'Vstupy S'!J67</f>
        <v>0</v>
      </c>
      <c r="K15" s="53">
        <f>'Vstupy S'!K67</f>
        <v>0</v>
      </c>
      <c r="L15" s="53">
        <f>'Vstupy S'!L67</f>
        <v>0</v>
      </c>
      <c r="M15" s="53">
        <f>'Vstupy S'!M67</f>
        <v>0</v>
      </c>
      <c r="N15" s="53">
        <f>'Vstupy S'!N67</f>
        <v>0</v>
      </c>
      <c r="O15" s="53">
        <f>'Vstupy S'!O67</f>
        <v>0</v>
      </c>
      <c r="P15" s="53">
        <f>'Vstupy S'!P67</f>
        <v>0</v>
      </c>
    </row>
    <row r="16" spans="2:16" ht="12">
      <c r="B16" s="44" t="str">
        <f>IF(CZ_EN=1,VLOOKUP("Investice",Slovnik,1,0),VLOOKUP("Investice",Slovnik,2,0))</f>
        <v>Investice</v>
      </c>
      <c r="C16" s="44"/>
      <c r="D16" s="44"/>
      <c r="E16" s="53">
        <f>'Vstupy S'!E40</f>
        <v>0</v>
      </c>
      <c r="F16" s="53">
        <f>'Vstupy S'!F40</f>
        <v>0</v>
      </c>
      <c r="G16" s="53">
        <f>'Vstupy S'!G40</f>
        <v>0</v>
      </c>
      <c r="H16" s="53">
        <f>'Vstupy S'!H40</f>
        <v>0</v>
      </c>
      <c r="I16" s="53">
        <f>'Vstupy S'!I40</f>
        <v>0</v>
      </c>
      <c r="J16" s="53">
        <f>'Vstupy S'!J40</f>
        <v>0</v>
      </c>
      <c r="K16" s="53">
        <f>'Vstupy S'!K40</f>
        <v>0</v>
      </c>
      <c r="L16" s="53">
        <f>'Vstupy S'!L40</f>
        <v>0</v>
      </c>
      <c r="M16" s="53">
        <f>'Vstupy S'!M40</f>
        <v>0</v>
      </c>
      <c r="N16" s="53">
        <f>'Vstupy S'!N40</f>
        <v>0</v>
      </c>
      <c r="O16" s="53">
        <f>'Vstupy S'!O40</f>
        <v>0</v>
      </c>
      <c r="P16" s="53">
        <f>'Vstupy S'!P40</f>
        <v>0</v>
      </c>
    </row>
    <row r="17" spans="2:16" ht="12">
      <c r="B17" s="44" t="str">
        <f>IF(CZ_EN=1,VLOOKUP("Odpisy investic",Slovnik,1,0),VLOOKUP("Odpisy investic",Slovnik,2,0))</f>
        <v>Odpisy investic</v>
      </c>
      <c r="C17" s="44"/>
      <c r="D17" s="44"/>
      <c r="E17" s="44">
        <v>0</v>
      </c>
      <c r="F17" s="53">
        <f>'Vstupy S'!F65</f>
        <v>0</v>
      </c>
      <c r="G17" s="53">
        <f>'Vstupy S'!G65</f>
        <v>0</v>
      </c>
      <c r="H17" s="53">
        <f>'Vstupy S'!H65</f>
        <v>0</v>
      </c>
      <c r="I17" s="53">
        <f>'Vstupy S'!I65</f>
        <v>0</v>
      </c>
      <c r="J17" s="53">
        <f>'Vstupy S'!J65</f>
        <v>0</v>
      </c>
      <c r="K17" s="53">
        <f>'Vstupy S'!K65</f>
        <v>0</v>
      </c>
      <c r="L17" s="53">
        <f>'Vstupy S'!L65</f>
        <v>0</v>
      </c>
      <c r="M17" s="53">
        <f>'Vstupy S'!M65</f>
        <v>0</v>
      </c>
      <c r="N17" s="53">
        <f>'Vstupy S'!N65</f>
        <v>0</v>
      </c>
      <c r="O17" s="53">
        <f>'Vstupy S'!O65</f>
        <v>0</v>
      </c>
      <c r="P17" s="53">
        <f>'Vstupy S'!P65</f>
        <v>0</v>
      </c>
    </row>
    <row r="18" spans="2:16" ht="12">
      <c r="B18" s="45" t="str">
        <f>IF(CZ_EN=1,VLOOKUP("Konečná hodnota",Slovnik,1,0),VLOOKUP("Konečná hodnota",Slovnik,2,0))</f>
        <v>Konečná hodnota</v>
      </c>
      <c r="C18" s="45"/>
      <c r="D18" s="45"/>
      <c r="E18" s="54">
        <f>'Vstupy S'!E33</f>
        <v>0</v>
      </c>
      <c r="F18" s="54">
        <f aca="true" t="shared" si="4" ref="F18:P18">F13-F14-F15+F16-F17</f>
        <v>0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54">
        <f t="shared" si="4"/>
        <v>0</v>
      </c>
      <c r="K18" s="54">
        <f t="shared" si="4"/>
        <v>0</v>
      </c>
      <c r="L18" s="54">
        <f t="shared" si="4"/>
        <v>0</v>
      </c>
      <c r="M18" s="54">
        <f t="shared" si="4"/>
        <v>0</v>
      </c>
      <c r="N18" s="54">
        <f t="shared" si="4"/>
        <v>0</v>
      </c>
      <c r="O18" s="54">
        <f t="shared" si="4"/>
        <v>0</v>
      </c>
      <c r="P18" s="54">
        <f t="shared" si="4"/>
        <v>0</v>
      </c>
    </row>
    <row r="19" spans="5:16" ht="12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12.75">
      <c r="B20" s="24" t="str">
        <f>IF(CZ_EN=1,VLOOKUP("Pracovní kapitál do budoucna",Slovnik,1,0),VLOOKUP("Pracovní kapitál do budoucna",Slovnik,2,0))</f>
        <v>Pracovní kapitál do budoucna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12">
      <c r="B21" s="41" t="str">
        <f>IF(CZ_EN=1,VLOOKUP("Úprava Pož. příjmu o PK",Slovnik,1,0),VLOOKUP("Úprava Pož. příjmu o PK",Slovnik,2,0))</f>
        <v>Úprava Pož. příjmu o PK</v>
      </c>
      <c r="C21" s="41"/>
      <c r="D21" s="232">
        <v>1</v>
      </c>
      <c r="E21" s="51">
        <f>IF($D$21=1,'Vystupy S'!E40/(1-'Spolecne vstupy'!$C$11/365*waccWW/(1-rate)),'Vystupy S'!E40/(1-'Spolecne vstupy'!$C$11/365*waccWW))</f>
        <v>0</v>
      </c>
      <c r="F21" s="51">
        <f>IF($D$21=1,'Vystupy S'!F40/(1-'Spolecne vstupy'!$C$11/365*waccWW/(1-rate)),'Vystupy S'!F40/(1-'Spolecne vstupy'!$C$11/365*waccWW))</f>
        <v>0</v>
      </c>
      <c r="G21" s="51">
        <f>IF($D$21=1,'Vystupy S'!G40/(1-'Spolecne vstupy'!$C$11/365*waccWW/(1-rate)),'Vystupy S'!G40/(1-'Spolecne vstupy'!$C$11/365*waccWW))</f>
        <v>5127.319595645412</v>
      </c>
      <c r="H21" s="51">
        <f>IF($D$21=1,'Vystupy S'!H40/(1-'Spolecne vstupy'!$C$11/365*waccWW/(1-rate)),'Vystupy S'!H40/(1-'Spolecne vstupy'!$C$11/365*waccWW))</f>
        <v>6671.87132192846</v>
      </c>
      <c r="I21" s="51">
        <f>IF($D$21=1,'Vystupy S'!I40/(1-'Spolecne vstupy'!$C$11/365*waccWW/(1-rate)),'Vystupy S'!I40/(1-'Spolecne vstupy'!$C$11/365*waccWW))</f>
        <v>6963.257729393468</v>
      </c>
      <c r="J21" s="51">
        <f>IF($D$21=1,'Vystupy S'!J40/(1-'Spolecne vstupy'!$C$11/365*waccWW/(1-rate)),'Vystupy S'!J40/(1-'Spolecne vstupy'!$C$11/365*waccWW))</f>
        <v>7228.154463452566</v>
      </c>
      <c r="K21" s="51">
        <f>IF($D$21=1,'Vystupy S'!K40/(1-'Spolecne vstupy'!$C$11/365*waccWW/(1-rate)),'Vystupy S'!K40/(1-'Spolecne vstupy'!$C$11/365*waccWW))</f>
        <v>7360.602830482116</v>
      </c>
      <c r="L21" s="51">
        <f>IF($D$21=1,'Vystupy S'!L40/(1-'Spolecne vstupy'!$C$11/365*waccWW/(1-rate)),'Vystupy S'!L40/(1-'Spolecne vstupy'!$C$11/365*waccWW))</f>
        <v>7360.602830482116</v>
      </c>
      <c r="M21" s="51">
        <f>IF($D$21=1,'Vystupy S'!M40/(1-'Spolecne vstupy'!$C$11/365*waccWW/(1-rate)),'Vystupy S'!M40/(1-'Spolecne vstupy'!$C$11/365*waccWW))</f>
        <v>7360.602830482116</v>
      </c>
      <c r="N21" s="51">
        <f>IF($D$21=1,'Vystupy S'!N40/(1-'Spolecne vstupy'!$C$11/365*waccWW/(1-rate)),'Vystupy S'!N40/(1-'Spolecne vstupy'!$C$11/365*waccWW))</f>
        <v>7360.602830482116</v>
      </c>
      <c r="O21" s="51">
        <f>IF($D$21=1,'Vystupy S'!O40/(1-'Spolecne vstupy'!$C$11/365*waccWW/(1-rate)),'Vystupy S'!O40/(1-'Spolecne vstupy'!$C$11/365*waccWW))</f>
        <v>7360.602830482116</v>
      </c>
      <c r="P21" s="51">
        <f>IF($D$21=1,'Vystupy S'!P40/(1-'Spolecne vstupy'!$C$11/365*waccWW/(1-rate)),'Vystupy S'!P40/(1-'Spolecne vstupy'!$C$11/365*waccWW))</f>
        <v>7360.602830482116</v>
      </c>
    </row>
    <row r="22" spans="2:16" ht="12">
      <c r="B22" s="44" t="str">
        <f>IF(CZ_EN=1,VLOOKUP("Odhad provozních nákladů pro danou službu",Slovnik,1,0),VLOOKUP("Odhad provozních nákladů pro danou službu",Slovnik,2,0))</f>
        <v>Odhad provozních nákladů pro danou službu</v>
      </c>
      <c r="C22" s="44"/>
      <c r="D22" s="44"/>
      <c r="E22" s="53">
        <f>'Vstupy S'!E103</f>
        <v>0</v>
      </c>
      <c r="F22" s="53">
        <f>'Vstupy S'!F103</f>
        <v>0</v>
      </c>
      <c r="G22" s="53">
        <f>'Vstupy S'!G103</f>
        <v>4150</v>
      </c>
      <c r="H22" s="53">
        <f>'Vstupy S'!H103</f>
        <v>5666</v>
      </c>
      <c r="I22" s="53">
        <f>'Vstupy S'!I103</f>
        <v>5952</v>
      </c>
      <c r="J22" s="53">
        <f>'Vstupy S'!J103</f>
        <v>6212</v>
      </c>
      <c r="K22" s="53">
        <f>'Vstupy S'!K103</f>
        <v>6342</v>
      </c>
      <c r="L22" s="53">
        <f>'Vstupy S'!L103</f>
        <v>6342</v>
      </c>
      <c r="M22" s="53">
        <f>'Vstupy S'!M103</f>
        <v>6342</v>
      </c>
      <c r="N22" s="53">
        <f>'Vstupy S'!N103</f>
        <v>6342</v>
      </c>
      <c r="O22" s="53">
        <f>'Vstupy S'!O103</f>
        <v>6342</v>
      </c>
      <c r="P22" s="53">
        <f>'Vstupy S'!P103</f>
        <v>6342</v>
      </c>
    </row>
    <row r="23" spans="2:16" ht="12">
      <c r="B23" s="45" t="str">
        <f>IF(CZ_EN=1,VLOOKUP("Zásoby vztahující se k dané službě",Slovnik,1,0),VLOOKUP("Zásoby vztahující se k dané službě",Slovnik,2,0))</f>
        <v>Zásoby vztahující se k dané službě</v>
      </c>
      <c r="C23" s="45"/>
      <c r="D23" s="45"/>
      <c r="E23" s="54">
        <f>'Vstupy S'!E72</f>
        <v>0</v>
      </c>
      <c r="F23" s="54">
        <f>'Vstupy S'!F72</f>
        <v>0</v>
      </c>
      <c r="G23" s="54">
        <f>'Vstupy S'!G72</f>
        <v>0</v>
      </c>
      <c r="H23" s="54">
        <f>'Vstupy S'!H72</f>
        <v>0</v>
      </c>
      <c r="I23" s="54">
        <f>'Vstupy S'!I72</f>
        <v>0</v>
      </c>
      <c r="J23" s="54">
        <f>'Vstupy S'!J72</f>
        <v>0</v>
      </c>
      <c r="K23" s="54">
        <f>'Vstupy S'!K72</f>
        <v>0</v>
      </c>
      <c r="L23" s="54">
        <f>'Vstupy S'!L72</f>
        <v>0</v>
      </c>
      <c r="M23" s="54">
        <f>'Vstupy S'!M72</f>
        <v>0</v>
      </c>
      <c r="N23" s="54">
        <f>'Vstupy S'!N72</f>
        <v>0</v>
      </c>
      <c r="O23" s="54">
        <f>'Vstupy S'!O72</f>
        <v>0</v>
      </c>
      <c r="P23" s="54">
        <f>'Vstupy S'!P72</f>
        <v>0</v>
      </c>
    </row>
    <row r="24" spans="2:16" ht="12">
      <c r="B24" s="15" t="str">
        <f>IF(CZ_EN=1,VLOOKUP("Částečná potřeba Pracovního kapitálu",Slovnik,1,0),VLOOKUP("Částečná potřeba Pracovního kapitálu",Slovnik,2,0))</f>
        <v>Částečná potřeba Pracovního kapitálu</v>
      </c>
      <c r="C24" s="15"/>
      <c r="D24" s="15"/>
      <c r="E24" s="115">
        <f>-E22*'Spolecne vstupy'!$C$12/365+E23</f>
        <v>0</v>
      </c>
      <c r="F24" s="115">
        <f>-F22*'Spolecne vstupy'!$C$12/365+F23</f>
        <v>0</v>
      </c>
      <c r="G24" s="115">
        <f>-G22*'Spolecne vstupy'!$C$12/365+G23</f>
        <v>-170.54794520547946</v>
      </c>
      <c r="H24" s="115">
        <f>-H22*'Spolecne vstupy'!$C$12/365+H23</f>
        <v>-232.84931506849315</v>
      </c>
      <c r="I24" s="115">
        <f>-I22*'Spolecne vstupy'!$C$12/365+I23</f>
        <v>-244.6027397260274</v>
      </c>
      <c r="J24" s="115">
        <f>-J22*'Spolecne vstupy'!$C$12/365+J23</f>
        <v>-255.2876712328767</v>
      </c>
      <c r="K24" s="115">
        <f>-K22*'Spolecne vstupy'!$C$12/365+K23</f>
        <v>-260.63013698630135</v>
      </c>
      <c r="L24" s="115">
        <f>-L22*'Spolecne vstupy'!$C$12/365+L23</f>
        <v>-260.63013698630135</v>
      </c>
      <c r="M24" s="115">
        <f>-M22*'Spolecne vstupy'!$C$12/365+M23</f>
        <v>-260.63013698630135</v>
      </c>
      <c r="N24" s="115">
        <f>-N22*'Spolecne vstupy'!$C$12/365+N23</f>
        <v>-260.63013698630135</v>
      </c>
      <c r="O24" s="115">
        <f>-O22*'Spolecne vstupy'!$C$12/365+O23</f>
        <v>-260.63013698630135</v>
      </c>
      <c r="P24" s="115">
        <f>-P22*'Spolecne vstupy'!$C$12/365+P23</f>
        <v>-260.63013698630135</v>
      </c>
    </row>
    <row r="25" spans="5:16" ht="12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12.75">
      <c r="B26" s="24" t="str">
        <f>IF(CZ_EN=1,VLOOKUP("Odpisy",Slovnik,1,0),VLOOKUP("Odpisy",Slovnik,2,0))</f>
        <v>Odpisy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</row>
    <row r="27" spans="2:16" ht="12">
      <c r="B27" s="41" t="str">
        <f>IF(CZ_EN=1,VLOOKUP("Provozní - účetní odpisy v reálných cenách",Slovnik,1,0),VLOOKUP("Provozní - účetní odpisy v reálných cenách",Slovnik,2,0))</f>
        <v>Provozní - účetní odpisy v reálných cenách</v>
      </c>
      <c r="C27" s="41"/>
      <c r="D27" s="41"/>
      <c r="E27" s="51">
        <f>'Vstupy S'!E70*('Spolecne vstupy'!E27/'Spolecne vstupy'!E19+E69)</f>
        <v>0</v>
      </c>
      <c r="F27" s="51">
        <f>'Vstupy S'!F70*('Spolecne vstupy'!F27/'Spolecne vstupy'!F19+F69)</f>
        <v>0</v>
      </c>
      <c r="G27" s="51">
        <f>'Vstupy S'!G70*('Spolecne vstupy'!G27/'Spolecne vstupy'!G19+G69)</f>
        <v>0</v>
      </c>
      <c r="H27" s="51">
        <f>'Vstupy S'!H70*('Spolecne vstupy'!H27/'Spolecne vstupy'!H19+H69)</f>
        <v>0</v>
      </c>
      <c r="I27" s="51">
        <f>'Vstupy S'!I70*('Spolecne vstupy'!I27/'Spolecne vstupy'!I19+I69)</f>
        <v>0</v>
      </c>
      <c r="J27" s="51">
        <f>'Vstupy S'!J70*('Spolecne vstupy'!J27/'Spolecne vstupy'!J19+J69)</f>
        <v>0</v>
      </c>
      <c r="K27" s="51">
        <f>'Vstupy S'!K70*('Spolecne vstupy'!K27/'Spolecne vstupy'!K19+K69)</f>
        <v>0</v>
      </c>
      <c r="L27" s="51">
        <f>'Vstupy S'!L70*('Spolecne vstupy'!L27/'Spolecne vstupy'!L19+L69)</f>
        <v>0</v>
      </c>
      <c r="M27" s="51">
        <f>'Vstupy S'!M70*('Spolecne vstupy'!M27/'Spolecne vstupy'!M19+M69)</f>
        <v>0</v>
      </c>
      <c r="N27" s="51">
        <f>'Vstupy S'!N70*('Spolecne vstupy'!N27/'Spolecne vstupy'!N19+N69)</f>
        <v>0</v>
      </c>
      <c r="O27" s="51">
        <f>'Vstupy S'!O70*('Spolecne vstupy'!O27/'Spolecne vstupy'!O19+O69)</f>
        <v>0</v>
      </c>
      <c r="P27" s="51">
        <f>'Vstupy S'!P70*('Spolecne vstupy'!P27/'Spolecne vstupy'!P19+P69)</f>
        <v>0</v>
      </c>
    </row>
    <row r="28" spans="2:16" ht="12">
      <c r="B28" s="44" t="str">
        <f>IF(CZ_EN=1,VLOOKUP("Infrastrukturní NEBO přidělené provozní - účetní odpisy v reálných cenách",Slovnik,1,0),VLOOKUP("Infrastrukturní NEBO přidělené provozní - účetní odpisy v reálných cenách",Slovnik,2,0))</f>
        <v>Infrastrukturní NEBO přidělené provozní - účetní odpisy v reálných cenách</v>
      </c>
      <c r="C28" s="44"/>
      <c r="D28" s="44"/>
      <c r="E28" s="53">
        <f>'Vstupy S'!E35/'Spolecne vstupy'!E19+E82</f>
        <v>0</v>
      </c>
      <c r="F28" s="53">
        <f>'Vstupy S'!F35/'Spolecne vstupy'!F19+F82</f>
        <v>0</v>
      </c>
      <c r="G28" s="53">
        <f>'Vstupy S'!G35/'Spolecne vstupy'!G19+G82</f>
        <v>0</v>
      </c>
      <c r="H28" s="53">
        <f>'Vstupy S'!H35/'Spolecne vstupy'!H19+H82</f>
        <v>0</v>
      </c>
      <c r="I28" s="53">
        <f>'Vstupy S'!I35/'Spolecne vstupy'!I19+I82</f>
        <v>0</v>
      </c>
      <c r="J28" s="53">
        <f>'Vstupy S'!J35/'Spolecne vstupy'!J19+J82</f>
        <v>0</v>
      </c>
      <c r="K28" s="53">
        <f>'Vstupy S'!K35/'Spolecne vstupy'!K19+K82</f>
        <v>0</v>
      </c>
      <c r="L28" s="53">
        <f>'Vstupy S'!L35/'Spolecne vstupy'!L19+L82</f>
        <v>0</v>
      </c>
      <c r="M28" s="53">
        <f>'Vstupy S'!M35/'Spolecne vstupy'!M19+M82</f>
        <v>0</v>
      </c>
      <c r="N28" s="53">
        <f>'Vstupy S'!N35/'Spolecne vstupy'!N19+N82</f>
        <v>0</v>
      </c>
      <c r="O28" s="53">
        <f>'Vstupy S'!O35/'Spolecne vstupy'!O19+O82</f>
        <v>0</v>
      </c>
      <c r="P28" s="53">
        <f>'Vstupy S'!P35/'Spolecne vstupy'!P19+P82</f>
        <v>0</v>
      </c>
    </row>
    <row r="29" spans="2:16" ht="12">
      <c r="B29" s="44" t="str">
        <f>IF(CZ_EN=1,VLOOKUP("Reálné odpisy",Slovnik,1,0),VLOOKUP("Reálné odpisy",Slovnik,2,0))</f>
        <v>Reálné odpisy</v>
      </c>
      <c r="C29" s="44"/>
      <c r="D29" s="44"/>
      <c r="E29" s="53">
        <f>IF(opm=1,'Vstupy S'!E37+'Vstupy S'!E65+('Spolecne vstupy'!E29+'Spolecne vstupy'!E57)*'Vstupy S'!E70,IF(opm=2,'Vstupy S'!E37+'Vstupy S'!E65,0))</f>
        <v>0</v>
      </c>
      <c r="F29" s="53">
        <f>IF(opm=1,'Vstupy S'!F37+'Vstupy S'!F65+('Spolecne vstupy'!F29+'Spolecne vstupy'!F57)*'Vstupy S'!F70,IF(opm=2,'Vstupy S'!F37+'Vstupy S'!F65,0))</f>
        <v>0</v>
      </c>
      <c r="G29" s="53">
        <f>IF(opm=1,'Vstupy S'!G37+'Vstupy S'!G65+('Spolecne vstupy'!G29+'Spolecne vstupy'!G57)*'Vstupy S'!G70,IF(opm=2,'Vstupy S'!G37+'Vstupy S'!G65,0))</f>
        <v>0</v>
      </c>
      <c r="H29" s="53">
        <f>IF(opm=1,'Vstupy S'!H37+'Vstupy S'!H65+('Spolecne vstupy'!H29+'Spolecne vstupy'!H57)*'Vstupy S'!H70,IF(opm=2,'Vstupy S'!H37+'Vstupy S'!H65,0))</f>
        <v>0</v>
      </c>
      <c r="I29" s="53">
        <f>IF(opm=1,'Vstupy S'!I37+'Vstupy S'!I65+('Spolecne vstupy'!I29+'Spolecne vstupy'!I57)*'Vstupy S'!I70,IF(opm=2,'Vstupy S'!I37+'Vstupy S'!I65,0))</f>
        <v>0</v>
      </c>
      <c r="J29" s="53">
        <f>IF(opm=1,'Vstupy S'!J37+'Vstupy S'!J65+('Spolecne vstupy'!J29+'Spolecne vstupy'!J57)*'Vstupy S'!J70,IF(opm=2,'Vstupy S'!J37+'Vstupy S'!J65,0))</f>
        <v>0</v>
      </c>
      <c r="K29" s="53">
        <f>IF(opm=1,'Vstupy S'!K37+'Vstupy S'!K65+('Spolecne vstupy'!K29+'Spolecne vstupy'!K57)*'Vstupy S'!K70,IF(opm=2,'Vstupy S'!K37+'Vstupy S'!K65,0))</f>
        <v>0</v>
      </c>
      <c r="L29" s="53">
        <f>IF(opm=1,'Vstupy S'!L37+'Vstupy S'!L65+('Spolecne vstupy'!L29+'Spolecne vstupy'!L57)*'Vstupy S'!L70,IF(opm=2,'Vstupy S'!L37+'Vstupy S'!L65,0))</f>
        <v>0</v>
      </c>
      <c r="M29" s="53">
        <f>IF(opm=1,'Vstupy S'!M37+'Vstupy S'!M65+('Spolecne vstupy'!M29+'Spolecne vstupy'!M57)*'Vstupy S'!M70,IF(opm=2,'Vstupy S'!M37+'Vstupy S'!M65,0))</f>
        <v>0</v>
      </c>
      <c r="N29" s="53">
        <f>IF(opm=1,'Vstupy S'!N37+'Vstupy S'!N65+('Spolecne vstupy'!N29+'Spolecne vstupy'!N57)*'Vstupy S'!N70,IF(opm=2,'Vstupy S'!N37+'Vstupy S'!N65,0))</f>
        <v>0</v>
      </c>
      <c r="O29" s="53">
        <f>IF(opm=1,'Vstupy S'!O37+'Vstupy S'!O65+('Spolecne vstupy'!O29+'Spolecne vstupy'!O57)*'Vstupy S'!O70,IF(opm=2,'Vstupy S'!O37+'Vstupy S'!O65,0))</f>
        <v>0</v>
      </c>
      <c r="P29" s="53">
        <f>IF(opm=1,'Vstupy S'!P37+'Vstupy S'!P65+('Spolecne vstupy'!P29+'Spolecne vstupy'!P57)*'Vstupy S'!P70,IF(opm=2,'Vstupy S'!P37+'Vstupy S'!P65,0))</f>
        <v>0</v>
      </c>
    </row>
    <row r="30" spans="2:16" ht="12">
      <c r="B30" s="45" t="str">
        <f>IF(CZ_EN=1,VLOOKUP("Úprava o inflaci",Slovnik,1,0),VLOOKUP("Úprava o inflaci",Slovnik,2,0))</f>
        <v>Úprava o inflaci</v>
      </c>
      <c r="C30" s="45"/>
      <c r="D30" s="45"/>
      <c r="E30" s="54">
        <f aca="true" t="shared" si="5" ref="E30:P30">IF(opm=1,E29-E28-E27,IF(opm=2,E29-E28,0))</f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  <c r="L30" s="54">
        <f t="shared" si="5"/>
        <v>0</v>
      </c>
      <c r="M30" s="54">
        <f t="shared" si="5"/>
        <v>0</v>
      </c>
      <c r="N30" s="54">
        <f t="shared" si="5"/>
        <v>0</v>
      </c>
      <c r="O30" s="54">
        <f t="shared" si="5"/>
        <v>0</v>
      </c>
      <c r="P30" s="54">
        <f t="shared" si="5"/>
        <v>0</v>
      </c>
    </row>
    <row r="31" spans="5:16" ht="12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ht="12.75">
      <c r="B32" s="24" t="str">
        <f>IF(CZ_EN=1,VLOOKUP("Očekávání",Slovnik,1,0),VLOOKUP("Očekávání",Slovnik,2,0))</f>
        <v>Očekávání</v>
      </c>
      <c r="D32" s="132">
        <f>'Spolecne vstupy'!C8</f>
        <v>1</v>
      </c>
      <c r="E32" s="32"/>
      <c r="F32" s="352">
        <v>1</v>
      </c>
      <c r="G32" s="33">
        <v>2</v>
      </c>
      <c r="H32" s="352">
        <v>3</v>
      </c>
      <c r="I32" s="33">
        <v>4</v>
      </c>
      <c r="J32" s="352">
        <v>5</v>
      </c>
      <c r="K32" s="33">
        <v>6</v>
      </c>
      <c r="L32" s="352">
        <v>7</v>
      </c>
      <c r="M32" s="33">
        <v>8</v>
      </c>
      <c r="N32" s="352">
        <v>9</v>
      </c>
      <c r="O32" s="33">
        <v>10</v>
      </c>
      <c r="P32" s="352">
        <v>11</v>
      </c>
    </row>
    <row r="33" spans="2:16" ht="12">
      <c r="B33" s="41" t="str">
        <f>IF(CZ_EN=1,VLOOKUP("Běžné",Slovnik,1,0),VLOOKUP("Běžné",Slovnik,2,0))</f>
        <v>běžné</v>
      </c>
      <c r="C33" s="41"/>
      <c r="D33" s="41"/>
      <c r="E33" s="51">
        <f>'Vstupy S'!E76</f>
        <v>0</v>
      </c>
      <c r="F33" s="51">
        <f aca="true" t="shared" si="6" ref="F33:P33">IF((E33-$E$33/(clWW+1))&lt;0,0,E33-$E$33/(clWW+1))</f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1">
        <f t="shared" si="6"/>
        <v>0</v>
      </c>
      <c r="O33" s="51">
        <f t="shared" si="6"/>
        <v>0</v>
      </c>
      <c r="P33" s="51">
        <f t="shared" si="6"/>
        <v>0</v>
      </c>
    </row>
    <row r="34" spans="2:16" ht="12">
      <c r="B34" s="44" t="str">
        <f>IF(CZ_EN=1,VLOOKUP(" - výnos z Očekávání",Slovnik,1,0),VLOOKUP(" - výnos z Očekávání",Slovnik,2,0))</f>
        <v> - výnos z Očekávání</v>
      </c>
      <c r="C34" s="44"/>
      <c r="D34" s="44"/>
      <c r="E34" s="53"/>
      <c r="F34" s="53">
        <f aca="true" t="shared" si="7" ref="F34:P34">F33*waccWW</f>
        <v>0</v>
      </c>
      <c r="G34" s="53">
        <f t="shared" si="7"/>
        <v>0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0</v>
      </c>
      <c r="N34" s="53">
        <f t="shared" si="7"/>
        <v>0</v>
      </c>
      <c r="O34" s="53">
        <f t="shared" si="7"/>
        <v>0</v>
      </c>
      <c r="P34" s="53">
        <f t="shared" si="7"/>
        <v>0</v>
      </c>
    </row>
    <row r="35" spans="2:16" ht="12">
      <c r="B35" s="45" t="str">
        <f>IF(CZ_EN=1,VLOOKUP(" - návratnost Očekávání",Slovnik,1,0),VLOOKUP(" - návratnost Očekávání",Slovnik,2,0))</f>
        <v> - návratnost Očekávání</v>
      </c>
      <c r="C35" s="45"/>
      <c r="D35" s="45"/>
      <c r="E35" s="54"/>
      <c r="F35" s="54">
        <f>E33-F33</f>
        <v>0</v>
      </c>
      <c r="G35" s="54">
        <f aca="true" t="shared" si="8" ref="G35:P35">F33-G33</f>
        <v>0</v>
      </c>
      <c r="H35" s="54">
        <f t="shared" si="8"/>
        <v>0</v>
      </c>
      <c r="I35" s="54">
        <f t="shared" si="8"/>
        <v>0</v>
      </c>
      <c r="J35" s="54">
        <f t="shared" si="8"/>
        <v>0</v>
      </c>
      <c r="K35" s="54">
        <f t="shared" si="8"/>
        <v>0</v>
      </c>
      <c r="L35" s="54">
        <f t="shared" si="8"/>
        <v>0</v>
      </c>
      <c r="M35" s="54">
        <f t="shared" si="8"/>
        <v>0</v>
      </c>
      <c r="N35" s="54">
        <f t="shared" si="8"/>
        <v>0</v>
      </c>
      <c r="O35" s="54">
        <f t="shared" si="8"/>
        <v>0</v>
      </c>
      <c r="P35" s="54">
        <f t="shared" si="8"/>
        <v>0</v>
      </c>
    </row>
    <row r="36" spans="2:16" ht="12">
      <c r="B36" s="41" t="str">
        <f>IF(CZ_EN=1,VLOOKUP("anuitní",Slovnik,1,0),VLOOKUP("anuitní",Slovnik,2,0))</f>
        <v>anuitní</v>
      </c>
      <c r="C36" s="41"/>
      <c r="D36" s="41"/>
      <c r="E36" s="51">
        <f>E33</f>
        <v>0</v>
      </c>
      <c r="F36" s="51">
        <f aca="true" t="shared" si="9" ref="F36:P36">IF(E36-F38&lt;0,0,E36-F38)</f>
        <v>0</v>
      </c>
      <c r="G36" s="51">
        <f t="shared" si="9"/>
        <v>0</v>
      </c>
      <c r="H36" s="51">
        <f t="shared" si="9"/>
        <v>0</v>
      </c>
      <c r="I36" s="51">
        <f t="shared" si="9"/>
        <v>0</v>
      </c>
      <c r="J36" s="51">
        <f t="shared" si="9"/>
        <v>0</v>
      </c>
      <c r="K36" s="51">
        <f t="shared" si="9"/>
        <v>0</v>
      </c>
      <c r="L36" s="51">
        <f t="shared" si="9"/>
        <v>0</v>
      </c>
      <c r="M36" s="51">
        <f t="shared" si="9"/>
        <v>0</v>
      </c>
      <c r="N36" s="51">
        <f t="shared" si="9"/>
        <v>0</v>
      </c>
      <c r="O36" s="51">
        <f t="shared" si="9"/>
        <v>0</v>
      </c>
      <c r="P36" s="51">
        <f t="shared" si="9"/>
        <v>0</v>
      </c>
    </row>
    <row r="37" spans="2:16" ht="12">
      <c r="B37" s="44" t="str">
        <f>IF(CZ_EN=1,VLOOKUP(" - výnos a návratnost z Očekávání",Slovnik,1,0),VLOOKUP(" - výnos a návratnost z Očekávání",Slovnik,2,0))</f>
        <v> - výnos a návratnost z Očekávání</v>
      </c>
      <c r="C37" s="44"/>
      <c r="D37" s="44"/>
      <c r="E37" s="53"/>
      <c r="F37" s="53">
        <f>IF(F32&lt;=(clWW+1),-PMT(waccWW,(clWW+1),'Vstupy S'!$E$76),0)</f>
        <v>0</v>
      </c>
      <c r="G37" s="53">
        <f>IF(G32&lt;=(clWW+1),-PMT(waccWW,(clWW+1),'Vstupy S'!$E$76),0)</f>
        <v>0</v>
      </c>
      <c r="H37" s="53">
        <f>IF(H32&lt;=(clWW+1),-PMT(waccWW,(clWW+1),'Vstupy S'!$E$76),0)</f>
        <v>0</v>
      </c>
      <c r="I37" s="53">
        <f>IF(I32&lt;=(clWW+1),-PMT(waccWW,(clWW+1),'Vstupy S'!$E$76),0)</f>
        <v>0</v>
      </c>
      <c r="J37" s="53">
        <f>IF(J32&lt;=(clWW+1),-PMT(waccWW,(clWW+1),'Vstupy S'!$E$76),0)</f>
        <v>0</v>
      </c>
      <c r="K37" s="53">
        <f>IF(K32&lt;=(clWW+1),-PMT(waccWW,(clWW+1),'Vstupy S'!$E$76),0)</f>
        <v>0</v>
      </c>
      <c r="L37" s="53">
        <f>IF(L32&lt;=(clWW+1),-PMT(waccWW,(clWW+1),'Vstupy S'!$E$76),0)</f>
        <v>0</v>
      </c>
      <c r="M37" s="53">
        <f>IF(M32&lt;=(clWW+1),-PMT(waccWW,(clWW+1),'Vstupy S'!$E$76),0)</f>
        <v>0</v>
      </c>
      <c r="N37" s="53">
        <f>IF(N32&lt;=(clWW+1),-PMT(waccWW,(clWW+1),'Vstupy S'!$E$76),0)</f>
        <v>0</v>
      </c>
      <c r="O37" s="53">
        <f>IF(O32&lt;=(clWW+1),-PMT(waccWW,(clWW+1),'Vstupy S'!$E$76),0)</f>
        <v>0</v>
      </c>
      <c r="P37" s="53">
        <f>IF(P32&lt;=(clWW+1),-PMT(waccWW,(clWW+1),'Vstupy S'!$E$76),0)</f>
        <v>0</v>
      </c>
    </row>
    <row r="38" spans="2:16" ht="12">
      <c r="B38" s="44" t="str">
        <f>IF(CZ_EN=1,VLOOKUP(" - návratnost Očekávání",Slovnik,1,0),VLOOKUP(" - návratnost Očekávání",Slovnik,2,0))</f>
        <v> - návratnost Očekávání</v>
      </c>
      <c r="C38" s="44"/>
      <c r="D38" s="44"/>
      <c r="E38" s="53"/>
      <c r="F38" s="53">
        <f aca="true" t="shared" si="10" ref="F38:P38">IF(F32&lt;=(clWW+1),-PPMT(waccWW,F32,(clWW+1),$E$33),0)</f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f t="shared" si="10"/>
        <v>0</v>
      </c>
      <c r="K38" s="53">
        <f t="shared" si="10"/>
        <v>0</v>
      </c>
      <c r="L38" s="53">
        <f t="shared" si="10"/>
        <v>0</v>
      </c>
      <c r="M38" s="53">
        <f t="shared" si="10"/>
        <v>0</v>
      </c>
      <c r="N38" s="53">
        <f t="shared" si="10"/>
        <v>0</v>
      </c>
      <c r="O38" s="53">
        <f t="shared" si="10"/>
        <v>0</v>
      </c>
      <c r="P38" s="53">
        <f t="shared" si="10"/>
        <v>0</v>
      </c>
    </row>
    <row r="39" spans="2:16" ht="12">
      <c r="B39" s="45" t="str">
        <f>IF(CZ_EN=1,VLOOKUP(" - výnos z Očekávání",Slovnik,1,0),VLOOKUP(" - výnos z Očekávání",Slovnik,2,0))</f>
        <v> - výnos z Očekávání</v>
      </c>
      <c r="C39" s="45"/>
      <c r="D39" s="45"/>
      <c r="E39" s="54"/>
      <c r="F39" s="54">
        <f aca="true" t="shared" si="11" ref="F39:P39">F37-F38</f>
        <v>0</v>
      </c>
      <c r="G39" s="54">
        <f t="shared" si="11"/>
        <v>0</v>
      </c>
      <c r="H39" s="54">
        <f t="shared" si="11"/>
        <v>0</v>
      </c>
      <c r="I39" s="54">
        <f t="shared" si="11"/>
        <v>0</v>
      </c>
      <c r="J39" s="54">
        <f t="shared" si="11"/>
        <v>0</v>
      </c>
      <c r="K39" s="54">
        <f t="shared" si="11"/>
        <v>0</v>
      </c>
      <c r="L39" s="54">
        <f t="shared" si="11"/>
        <v>0</v>
      </c>
      <c r="M39" s="54">
        <f t="shared" si="11"/>
        <v>0</v>
      </c>
      <c r="N39" s="54">
        <f t="shared" si="11"/>
        <v>0</v>
      </c>
      <c r="O39" s="54">
        <f t="shared" si="11"/>
        <v>0</v>
      </c>
      <c r="P39" s="54">
        <f t="shared" si="11"/>
        <v>0</v>
      </c>
    </row>
    <row r="40" spans="2:16" ht="12">
      <c r="B40" s="34" t="str">
        <f>CONCATENATE(IF(CZ_EN=1,VLOOKUP(" - výnos a návratnost z Očekávání",Slovnik,1,0),VLOOKUP(" - výnos a návratnost z Očekávání",Slovnik,2,0))," ",IF(CZ_EN=1,VLOOKUP("(vybraná varianta)",Slovnik,1,0),VLOOKUP("(vybraná varianta)",Slovnik,2,0)))</f>
        <v> - výnos a návratnost z Očekávání (vybraná varianta)</v>
      </c>
      <c r="C40" s="31"/>
      <c r="D40" s="31"/>
      <c r="E40" s="39"/>
      <c r="F40" s="33"/>
      <c r="G40" s="33">
        <f aca="true" t="shared" si="12" ref="G40:P40">IF($D$32=1,G34+G35,G37)</f>
        <v>0</v>
      </c>
      <c r="H40" s="33">
        <f t="shared" si="12"/>
        <v>0</v>
      </c>
      <c r="I40" s="33">
        <f t="shared" si="12"/>
        <v>0</v>
      </c>
      <c r="J40" s="33">
        <f t="shared" si="12"/>
        <v>0</v>
      </c>
      <c r="K40" s="33">
        <f t="shared" si="12"/>
        <v>0</v>
      </c>
      <c r="L40" s="33">
        <f t="shared" si="12"/>
        <v>0</v>
      </c>
      <c r="M40" s="33">
        <f t="shared" si="12"/>
        <v>0</v>
      </c>
      <c r="N40" s="33">
        <f t="shared" si="12"/>
        <v>0</v>
      </c>
      <c r="O40" s="33">
        <f t="shared" si="12"/>
        <v>0</v>
      </c>
      <c r="P40" s="33">
        <f t="shared" si="12"/>
        <v>0</v>
      </c>
    </row>
    <row r="41" spans="6:16" ht="12">
      <c r="F41" s="34" t="str">
        <f>IF(CZ_EN=1,VLOOKUP("rok",Slovnik,1,0),VLOOKUP("rok",Slovnik,2,0))</f>
        <v>rok</v>
      </c>
      <c r="G41" s="34">
        <v>1</v>
      </c>
      <c r="H41" s="34">
        <v>2</v>
      </c>
      <c r="I41" s="34">
        <v>3</v>
      </c>
      <c r="J41" s="34">
        <v>4</v>
      </c>
      <c r="K41" s="34">
        <v>5</v>
      </c>
      <c r="L41" s="34">
        <v>6</v>
      </c>
      <c r="M41" s="34">
        <v>7</v>
      </c>
      <c r="N41" s="34">
        <v>8</v>
      </c>
      <c r="O41" s="34">
        <v>9</v>
      </c>
      <c r="P41" s="34">
        <v>10</v>
      </c>
    </row>
    <row r="42" spans="2:16" ht="12.75">
      <c r="B42" s="24" t="str">
        <f>IF(CZ_EN=1,VLOOKUP("POVOLENÝ PŘÍJEM (pokud je relevantní)",Slovnik,1,0),VLOOKUP("POVOLENÝ PŘÍJEM (pokud je relevantní)",Slovnik,2,0))</f>
        <v>POVOLENÝ PŘÍJEM (pokud je relevantní)</v>
      </c>
      <c r="F42" s="34"/>
      <c r="G42" s="34">
        <f aca="true" t="shared" si="13" ref="G42:P42">IF(G41&lt;=DoPCP,1,0)</f>
        <v>1</v>
      </c>
      <c r="H42" s="34">
        <f t="shared" si="13"/>
        <v>1</v>
      </c>
      <c r="I42" s="34">
        <f t="shared" si="13"/>
        <v>1</v>
      </c>
      <c r="J42" s="34">
        <f t="shared" si="13"/>
        <v>1</v>
      </c>
      <c r="K42" s="34">
        <f t="shared" si="13"/>
        <v>1</v>
      </c>
      <c r="L42" s="34">
        <f t="shared" si="13"/>
        <v>0</v>
      </c>
      <c r="M42" s="34">
        <f t="shared" si="13"/>
        <v>0</v>
      </c>
      <c r="N42" s="34">
        <f t="shared" si="13"/>
        <v>0</v>
      </c>
      <c r="O42" s="34">
        <f t="shared" si="13"/>
        <v>0</v>
      </c>
      <c r="P42" s="34">
        <f t="shared" si="13"/>
        <v>0</v>
      </c>
    </row>
    <row r="43" spans="2:16" ht="12">
      <c r="B43" s="41" t="str">
        <f>IF(CZ_EN=1,VLOOKUP("Diskontovaný Pož. příjem",Slovnik,1,0),VLOOKUP("Diskontovaný Pož. příjem",Slovnik,2,0))</f>
        <v>Diskontovaný Pož. příjem</v>
      </c>
      <c r="C43" s="41"/>
      <c r="D43" s="41"/>
      <c r="E43" s="41"/>
      <c r="F43" s="120">
        <f>'Vystupy S'!F48/'Spolecne vstupy'!F19*'Vypocty S'!F42</f>
        <v>0</v>
      </c>
      <c r="G43" s="120">
        <f>'Vystupy S'!G48/'Spolecne vstupy'!G19*'Vypocty S'!G42</f>
        <v>5012.042615489162</v>
      </c>
      <c r="H43" s="120">
        <f>'Vystupy S'!H48/'Spolecne vstupy'!H19*'Vypocty S'!H42</f>
        <v>6393.988578314896</v>
      </c>
      <c r="I43" s="120">
        <f>'Vystupy S'!I48/'Spolecne vstupy'!I19*'Vypocty S'!I42</f>
        <v>6542.390953281625</v>
      </c>
      <c r="J43" s="120">
        <f>'Vystupy S'!J48/'Spolecne vstupy'!J19*'Vypocty S'!J42</f>
        <v>6658.114749234862</v>
      </c>
      <c r="K43" s="120">
        <f>'Vystupy S'!K48/'Spolecne vstupy'!K19*'Vypocty S'!K42</f>
        <v>6647.174249988971</v>
      </c>
      <c r="L43" s="120">
        <f>'Vystupy S'!L48/'Spolecne vstupy'!L19*'Vypocty S'!L42</f>
        <v>0</v>
      </c>
      <c r="M43" s="120">
        <f>'Vystupy S'!M48/'Spolecne vstupy'!M19*'Vypocty S'!M42</f>
        <v>0</v>
      </c>
      <c r="N43" s="120">
        <f>'Vystupy S'!N48/'Spolecne vstupy'!N19*'Vypocty S'!N42</f>
        <v>0</v>
      </c>
      <c r="O43" s="120">
        <f>'Vystupy S'!O48/'Spolecne vstupy'!O19*'Vypocty S'!O42</f>
        <v>0</v>
      </c>
      <c r="P43" s="120">
        <f>'Vystupy S'!P48/'Spolecne vstupy'!P19*'Vypocty S'!P42</f>
        <v>0</v>
      </c>
    </row>
    <row r="44" spans="2:16" ht="12">
      <c r="B44" s="44" t="str">
        <f>IF(CZ_EN=1,VLOOKUP("Diskontovaný objem produkce",Slovnik,1,0),VLOOKUP("Diskontovaný objem produkce",Slovnik,2,0))</f>
        <v>Diskontovaný objem produkce</v>
      </c>
      <c r="C44" s="44"/>
      <c r="D44" s="44"/>
      <c r="E44" s="44"/>
      <c r="F44" s="53">
        <f>'Vstupy S'!F28*'Spolecne vstupy'!F21/'Spolecne vstupy'!F19*F42</f>
        <v>0</v>
      </c>
      <c r="G44" s="53">
        <f>'Vstupy S'!G28*'Spolecne vstupy'!G21/'Spolecne vstupy'!G19*G42</f>
        <v>116.09188660801566</v>
      </c>
      <c r="H44" s="53">
        <f>'Vstupy S'!H28*'Spolecne vstupy'!H21/'Spolecne vstupy'!H19*H42</f>
        <v>166.41941233971596</v>
      </c>
      <c r="I44" s="53">
        <f>'Vstupy S'!I28*'Spolecne vstupy'!I21/'Spolecne vstupy'!I19*I42</f>
        <v>173.47076449654867</v>
      </c>
      <c r="J44" s="53">
        <f>'Vstupy S'!J28*'Spolecne vstupy'!J21/'Spolecne vstupy'!J19*J42</f>
        <v>179.2623162523953</v>
      </c>
      <c r="K44" s="53">
        <f>'Vstupy S'!K28*'Spolecne vstupy'!K21/'Spolecne vstupy'!K19*K42</f>
        <v>180.25371166656134</v>
      </c>
      <c r="L44" s="53">
        <f>'Vstupy S'!L28*'Spolecne vstupy'!L21/'Spolecne vstupy'!L19*L42</f>
        <v>0</v>
      </c>
      <c r="M44" s="53">
        <f>'Vstupy S'!M28*'Spolecne vstupy'!M21/'Spolecne vstupy'!M19*M42</f>
        <v>0</v>
      </c>
      <c r="N44" s="53">
        <f>'Vstupy S'!N28*'Spolecne vstupy'!N21/'Spolecne vstupy'!N19*N42</f>
        <v>0</v>
      </c>
      <c r="O44" s="53">
        <f>'Vstupy S'!O28*'Spolecne vstupy'!O21/'Spolecne vstupy'!O19*O42</f>
        <v>0</v>
      </c>
      <c r="P44" s="53">
        <f>'Vstupy S'!P28*'Spolecne vstupy'!P21/'Spolecne vstupy'!P19*P42</f>
        <v>0</v>
      </c>
    </row>
    <row r="45" spans="2:16" ht="12">
      <c r="B45" s="44" t="str">
        <f>'Vypocty V'!B45</f>
        <v>Index růstu cen</v>
      </c>
      <c r="C45" s="44"/>
      <c r="D45" s="44"/>
      <c r="E45" s="44"/>
      <c r="F45" s="119">
        <f>'Vstupy S'!E10</f>
        <v>0</v>
      </c>
      <c r="G45" s="121">
        <f>1*G42</f>
        <v>1</v>
      </c>
      <c r="H45" s="121">
        <f aca="true" t="shared" si="14" ref="H45:P45">G45*(1+$F$45)*H42</f>
        <v>1</v>
      </c>
      <c r="I45" s="121">
        <f t="shared" si="14"/>
        <v>1</v>
      </c>
      <c r="J45" s="121">
        <f t="shared" si="14"/>
        <v>1</v>
      </c>
      <c r="K45" s="121">
        <f t="shared" si="14"/>
        <v>1</v>
      </c>
      <c r="L45" s="121">
        <f t="shared" si="14"/>
        <v>0</v>
      </c>
      <c r="M45" s="121">
        <f t="shared" si="14"/>
        <v>0</v>
      </c>
      <c r="N45" s="121">
        <f t="shared" si="14"/>
        <v>0</v>
      </c>
      <c r="O45" s="121">
        <f t="shared" si="14"/>
        <v>0</v>
      </c>
      <c r="P45" s="121">
        <f t="shared" si="14"/>
        <v>0</v>
      </c>
    </row>
    <row r="46" spans="2:16" ht="12">
      <c r="B46" s="44" t="str">
        <f>'Vypocty V'!B46</f>
        <v>Diskontovaný objem produkce indexovaný cenovým růstem</v>
      </c>
      <c r="C46" s="44"/>
      <c r="D46" s="44"/>
      <c r="E46" s="44"/>
      <c r="F46" s="44"/>
      <c r="G46" s="53">
        <f aca="true" t="shared" si="15" ref="G46:P46">G44*G45</f>
        <v>116.09188660801566</v>
      </c>
      <c r="H46" s="53">
        <f t="shared" si="15"/>
        <v>166.41941233971596</v>
      </c>
      <c r="I46" s="53">
        <f t="shared" si="15"/>
        <v>173.47076449654867</v>
      </c>
      <c r="J46" s="53">
        <f t="shared" si="15"/>
        <v>179.2623162523953</v>
      </c>
      <c r="K46" s="53">
        <f t="shared" si="15"/>
        <v>180.25371166656134</v>
      </c>
      <c r="L46" s="53">
        <f t="shared" si="15"/>
        <v>0</v>
      </c>
      <c r="M46" s="53">
        <f t="shared" si="15"/>
        <v>0</v>
      </c>
      <c r="N46" s="53">
        <f t="shared" si="15"/>
        <v>0</v>
      </c>
      <c r="O46" s="53">
        <f t="shared" si="15"/>
        <v>0</v>
      </c>
      <c r="P46" s="53">
        <f t="shared" si="15"/>
        <v>0</v>
      </c>
    </row>
    <row r="47" spans="2:16" ht="12">
      <c r="B47" s="45" t="str">
        <f>'Vypocty V'!B47</f>
        <v>Cena</v>
      </c>
      <c r="C47" s="45"/>
      <c r="D47" s="45"/>
      <c r="E47" s="45"/>
      <c r="F47" s="122">
        <f>IF(SUM(F46:P46)=0,0,SUM(F43:P43)/(SUM(F46:P46)))</f>
        <v>38.324689508547934</v>
      </c>
      <c r="G47" s="122">
        <f aca="true" t="shared" si="16" ref="G47:P47">$F$47*G45</f>
        <v>38.324689508547934</v>
      </c>
      <c r="H47" s="122">
        <f t="shared" si="16"/>
        <v>38.324689508547934</v>
      </c>
      <c r="I47" s="122">
        <f t="shared" si="16"/>
        <v>38.324689508547934</v>
      </c>
      <c r="J47" s="122">
        <f t="shared" si="16"/>
        <v>38.324689508547934</v>
      </c>
      <c r="K47" s="122">
        <f t="shared" si="16"/>
        <v>38.324689508547934</v>
      </c>
      <c r="L47" s="122">
        <f t="shared" si="16"/>
        <v>0</v>
      </c>
      <c r="M47" s="122">
        <f t="shared" si="16"/>
        <v>0</v>
      </c>
      <c r="N47" s="122">
        <f t="shared" si="16"/>
        <v>0</v>
      </c>
      <c r="O47" s="122">
        <f t="shared" si="16"/>
        <v>0</v>
      </c>
      <c r="P47" s="122">
        <f t="shared" si="16"/>
        <v>0</v>
      </c>
    </row>
    <row r="48" ht="12"/>
    <row r="49" ht="12.75">
      <c r="B49" s="179" t="str">
        <f>CONCATENATE(IF(CZ_EN=1,VLOOKUP("Daň z příjmu právnických osob",Slovnik,1,0),VLOOKUP("Daň z příjmu právnických osob",Slovnik,2,0))," ",IF(CZ_EN=1,VLOOKUP("bez PK",Slovnik,1,0),VLOOKUP("bez PK",Slovnik,2,0)))</f>
        <v>Daň z příjmu právnických osob bez PK</v>
      </c>
    </row>
    <row r="50" spans="2:16" ht="12">
      <c r="B50" s="41" t="str">
        <f>IF(CZ_EN=1,VLOOKUP("Základ",Slovnik,1,0),VLOOKUP("Základ",Slovnik,2,0))</f>
        <v>Základ</v>
      </c>
      <c r="C50" s="41"/>
      <c r="D50" s="41"/>
      <c r="E50" s="51">
        <f>IF('Vystupy S'!E33+'Vystupy S'!E35+'Vystupy S'!E36+'Vystupy S'!E37-'Vstupy S'!E97-'Vstupy S'!E110&lt;0,0,'Vystupy S'!E33+'Vystupy S'!E35+'Vystupy S'!E36+'Vystupy S'!E37-'Vstupy S'!E97-'Vstupy S'!E110)</f>
        <v>0</v>
      </c>
      <c r="F50" s="51">
        <f>IF('Vystupy S'!F33+'Vystupy S'!F35+'Vystupy S'!F36+'Vystupy S'!F37-'Vstupy S'!F97-'Vstupy S'!F110&lt;0,0,'Vystupy S'!F33+'Vystupy S'!F35+'Vystupy S'!F36+'Vystupy S'!F37-'Vstupy S'!F97-'Vstupy S'!F110)</f>
        <v>0</v>
      </c>
      <c r="G50" s="51">
        <f>IF('Vystupy S'!G33+'Vystupy S'!G35+'Vystupy S'!G36+'Vystupy S'!G37-'Vstupy S'!G97-'Vstupy S'!G110&lt;0,0,'Vystupy S'!G33+'Vystupy S'!G35+'Vystupy S'!G36+'Vystupy S'!G37-'Vstupy S'!G97-'Vstupy S'!G110)</f>
        <v>0</v>
      </c>
      <c r="H50" s="51">
        <f>IF('Vystupy S'!H33+'Vystupy S'!H35+'Vystupy S'!H36+'Vystupy S'!H37-'Vstupy S'!H97-'Vstupy S'!H110&lt;0,0,'Vystupy S'!H33+'Vystupy S'!H35+'Vystupy S'!H36+'Vystupy S'!H37-'Vstupy S'!H97-'Vstupy S'!H110)</f>
        <v>0</v>
      </c>
      <c r="I50" s="51">
        <f>IF('Vystupy S'!I33+'Vystupy S'!I35+'Vystupy S'!I36+'Vystupy S'!I37-'Vstupy S'!I97-'Vstupy S'!I110&lt;0,0,'Vystupy S'!I33+'Vystupy S'!I35+'Vystupy S'!I36+'Vystupy S'!I37-'Vstupy S'!I97-'Vstupy S'!I110)</f>
        <v>0</v>
      </c>
      <c r="J50" s="51">
        <f>IF('Vystupy S'!J33+'Vystupy S'!J35+'Vystupy S'!J36+'Vystupy S'!J37-'Vstupy S'!J97-'Vstupy S'!J110&lt;0,0,'Vystupy S'!J33+'Vystupy S'!J35+'Vystupy S'!J36+'Vystupy S'!J37-'Vstupy S'!J97-'Vstupy S'!J110)</f>
        <v>0</v>
      </c>
      <c r="K50" s="51">
        <f>IF('Vystupy S'!K33+'Vystupy S'!K35+'Vystupy S'!K36+'Vystupy S'!K37-'Vstupy S'!K97-'Vstupy S'!K110&lt;0,0,'Vystupy S'!K33+'Vystupy S'!K35+'Vystupy S'!K36+'Vystupy S'!K37-'Vstupy S'!K97-'Vstupy S'!K110)</f>
        <v>0</v>
      </c>
      <c r="L50" s="51">
        <f>IF('Vystupy S'!L33+'Vystupy S'!L35+'Vystupy S'!L36+'Vystupy S'!L37-'Vstupy S'!L97-'Vstupy S'!L110&lt;0,0,'Vystupy S'!L33+'Vystupy S'!L35+'Vystupy S'!L36+'Vystupy S'!L37-'Vstupy S'!L97-'Vstupy S'!L110)</f>
        <v>0</v>
      </c>
      <c r="M50" s="51">
        <f>IF('Vystupy S'!M33+'Vystupy S'!M35+'Vystupy S'!M36+'Vystupy S'!M37-'Vstupy S'!M97-'Vstupy S'!M110&lt;0,0,'Vystupy S'!M33+'Vystupy S'!M35+'Vystupy S'!M36+'Vystupy S'!M37-'Vstupy S'!M97-'Vstupy S'!M110)</f>
        <v>0</v>
      </c>
      <c r="N50" s="51">
        <f>IF('Vystupy S'!N33+'Vystupy S'!N35+'Vystupy S'!N36+'Vystupy S'!N37-'Vstupy S'!N97-'Vstupy S'!N110&lt;0,0,'Vystupy S'!N33+'Vystupy S'!N35+'Vystupy S'!N36+'Vystupy S'!N37-'Vstupy S'!N97-'Vstupy S'!N110)</f>
        <v>0</v>
      </c>
      <c r="O50" s="51">
        <f>IF('Vystupy S'!O33+'Vystupy S'!O35+'Vystupy S'!O36+'Vystupy S'!O37-'Vstupy S'!O97-'Vstupy S'!O110&lt;0,0,'Vystupy S'!O33+'Vystupy S'!O35+'Vystupy S'!O36+'Vystupy S'!O37-'Vstupy S'!O97-'Vstupy S'!O110)</f>
        <v>0</v>
      </c>
      <c r="P50" s="51">
        <f>IF('Vystupy S'!P33+'Vystupy S'!P35+'Vystupy S'!P36+'Vystupy S'!P37-'Vstupy S'!P97-'Vstupy S'!P110&lt;0,0,'Vystupy S'!P33+'Vystupy S'!P35+'Vystupy S'!P36+'Vystupy S'!P37-'Vstupy S'!P97-'Vstupy S'!P110)</f>
        <v>0</v>
      </c>
    </row>
    <row r="51" spans="2:16" ht="12">
      <c r="B51" s="45" t="str">
        <f>B49</f>
        <v>Daň z příjmu právnických osob bez PK</v>
      </c>
      <c r="C51" s="45"/>
      <c r="D51" s="45"/>
      <c r="E51" s="54">
        <f aca="true" t="shared" si="17" ref="E51:P51">E50/(1-rate)*rate</f>
        <v>0</v>
      </c>
      <c r="F51" s="54">
        <f t="shared" si="17"/>
        <v>0</v>
      </c>
      <c r="G51" s="54">
        <f t="shared" si="17"/>
        <v>0</v>
      </c>
      <c r="H51" s="54">
        <f t="shared" si="17"/>
        <v>0</v>
      </c>
      <c r="I51" s="54">
        <f t="shared" si="17"/>
        <v>0</v>
      </c>
      <c r="J51" s="54">
        <f t="shared" si="17"/>
        <v>0</v>
      </c>
      <c r="K51" s="54">
        <f t="shared" si="17"/>
        <v>0</v>
      </c>
      <c r="L51" s="54">
        <f t="shared" si="17"/>
        <v>0</v>
      </c>
      <c r="M51" s="54">
        <f t="shared" si="17"/>
        <v>0</v>
      </c>
      <c r="N51" s="54">
        <f t="shared" si="17"/>
        <v>0</v>
      </c>
      <c r="O51" s="54">
        <f t="shared" si="17"/>
        <v>0</v>
      </c>
      <c r="P51" s="54">
        <f t="shared" si="17"/>
        <v>0</v>
      </c>
    </row>
    <row r="52" ht="12"/>
    <row r="53" spans="2:16" ht="12">
      <c r="B53" s="41" t="str">
        <f>'Vystupy V'!C20</f>
        <v>Pracovní kapitál</v>
      </c>
      <c r="C53" s="41"/>
      <c r="D53" s="41"/>
      <c r="E53" s="51">
        <f>'Vystupy S'!E34/waccWW</f>
        <v>0</v>
      </c>
      <c r="F53" s="51">
        <f>'Vystupy S'!F34/waccWW</f>
        <v>0</v>
      </c>
      <c r="G53" s="51">
        <f>'Vystupy S'!G34/waccWW</f>
        <v>1093.7226400221539</v>
      </c>
      <c r="H53" s="51">
        <f>'Vystupy S'!H34/waccWW</f>
        <v>1412.269641023452</v>
      </c>
      <c r="I53" s="51">
        <f>'Vystupy S'!I34/waccWW</f>
        <v>1472.3649195764692</v>
      </c>
      <c r="J53" s="51">
        <f>'Vystupy S'!J34/waccWW</f>
        <v>1526.9969909883018</v>
      </c>
      <c r="K53" s="51">
        <f>'Vystupy S'!K34/waccWW</f>
        <v>1554.3130266942235</v>
      </c>
      <c r="L53" s="51">
        <f>'Vystupy S'!L34/waccWW</f>
        <v>1554.3130266942235</v>
      </c>
      <c r="M53" s="51">
        <f>'Vystupy S'!M34/waccWW</f>
        <v>1554.3130266942235</v>
      </c>
      <c r="N53" s="51">
        <f>'Vystupy S'!N34/waccWW</f>
        <v>1554.3130266942235</v>
      </c>
      <c r="O53" s="51">
        <f>'Vystupy S'!O34/waccWW</f>
        <v>1554.3130266942235</v>
      </c>
      <c r="P53" s="51">
        <f>'Vystupy S'!P34/waccWW</f>
        <v>1554.3130266942235</v>
      </c>
    </row>
    <row r="54" spans="2:16" ht="12">
      <c r="B54" s="44" t="str">
        <f>'Vystupy V'!C34</f>
        <v>Výnos z ReHoK bez Očekávání</v>
      </c>
      <c r="C54" s="44"/>
      <c r="D54" s="44"/>
      <c r="E54" s="53">
        <f>'Vystupy S'!E41-'Vystupy S'!E40</f>
        <v>0</v>
      </c>
      <c r="F54" s="53">
        <f>'Vystupy S'!F41-'Vystupy S'!F40</f>
        <v>0</v>
      </c>
      <c r="G54" s="53">
        <f>'Vystupy S'!G41-'Vystupy S'!G40</f>
        <v>109.25795180979549</v>
      </c>
      <c r="H54" s="53">
        <f>'Vystupy S'!H41-'Vystupy S'!H40</f>
        <v>142.17077398325455</v>
      </c>
      <c r="I54" s="53">
        <f>'Vystupy S'!I41-'Vystupy S'!I40</f>
        <v>148.37992117428985</v>
      </c>
      <c r="J54" s="53">
        <f>'Vystupy S'!J41-'Vystupy S'!J40</f>
        <v>154.0246004388673</v>
      </c>
      <c r="K54" s="53">
        <f>'Vystupy S'!K41-'Vystupy S'!K40</f>
        <v>156.8469400711565</v>
      </c>
      <c r="L54" s="53">
        <f>'Vystupy S'!L41-'Vystupy S'!L40</f>
        <v>156.8469400711565</v>
      </c>
      <c r="M54" s="53">
        <f>'Vystupy S'!M41-'Vystupy S'!M40</f>
        <v>156.8469400711565</v>
      </c>
      <c r="N54" s="53">
        <f>'Vystupy S'!N41-'Vystupy S'!N40</f>
        <v>156.8469400711565</v>
      </c>
      <c r="O54" s="53">
        <f>'Vystupy S'!O41-'Vystupy S'!O40</f>
        <v>156.8469400711565</v>
      </c>
      <c r="P54" s="53">
        <f>'Vystupy S'!P41-'Vystupy S'!P40</f>
        <v>156.8469400711565</v>
      </c>
    </row>
    <row r="55" spans="2:16" ht="12">
      <c r="B55" s="45" t="str">
        <f>CONCATENATE('Vystupy S'!C38," - ",IF(CZ_EN=1,VLOOKUP("příjmová část PK",Slovnik,1,0),VLOOKUP("příjmová část PK",Slovnik,2,0)))</f>
        <v>Daň z příjmu právnických osob - příjmová část PK</v>
      </c>
      <c r="C55" s="45"/>
      <c r="D55" s="45"/>
      <c r="E55" s="54">
        <f aca="true" t="shared" si="18" ref="E55:P55">E54*rate</f>
        <v>0</v>
      </c>
      <c r="F55" s="54">
        <f t="shared" si="18"/>
        <v>0</v>
      </c>
      <c r="G55" s="54">
        <f t="shared" si="18"/>
        <v>20.75901084386114</v>
      </c>
      <c r="H55" s="54">
        <f t="shared" si="18"/>
        <v>27.012447056818363</v>
      </c>
      <c r="I55" s="54">
        <f t="shared" si="18"/>
        <v>28.192185023115073</v>
      </c>
      <c r="J55" s="54">
        <f t="shared" si="18"/>
        <v>29.26467408338479</v>
      </c>
      <c r="K55" s="54">
        <f t="shared" si="18"/>
        <v>29.800918613519734</v>
      </c>
      <c r="L55" s="54">
        <f t="shared" si="18"/>
        <v>29.800918613519734</v>
      </c>
      <c r="M55" s="54">
        <f t="shared" si="18"/>
        <v>29.800918613519734</v>
      </c>
      <c r="N55" s="54">
        <f t="shared" si="18"/>
        <v>29.800918613519734</v>
      </c>
      <c r="O55" s="54">
        <f t="shared" si="18"/>
        <v>29.800918613519734</v>
      </c>
      <c r="P55" s="54">
        <f t="shared" si="18"/>
        <v>29.800918613519734</v>
      </c>
    </row>
    <row r="56" ht="12"/>
    <row r="57" ht="12">
      <c r="B57" s="18" t="str">
        <f>IF(CZ_EN=1,VLOOKUP("Nominální odpisy investic do provozního majetku v reálných cenách",Slovnik,1,0),VLOOKUP("Nominální odpisy investic do provozního majetku v reálných cenách",Slovnik,2,0))</f>
        <v>Nominální odpisy investic do provozního majetku v reálných cenách</v>
      </c>
    </row>
    <row r="58" spans="2:16" ht="12">
      <c r="B58" s="41" t="str">
        <f>CONCATENATE(Slovnik!$G$9,"  ",F2)</f>
        <v>uskutečněných v roce  2021</v>
      </c>
      <c r="C58" s="41"/>
      <c r="D58" s="41"/>
      <c r="E58" s="41"/>
      <c r="F58" s="51">
        <f>'Spolecne vstupy'!F35*'Spolecne vstupy'!$F$19/'Spolecne vstupy'!F19</f>
        <v>0</v>
      </c>
      <c r="G58" s="51">
        <f>'Spolecne vstupy'!G35*'Spolecne vstupy'!$F$19/'Spolecne vstupy'!G19</f>
        <v>0</v>
      </c>
      <c r="H58" s="51">
        <f>'Spolecne vstupy'!H35*'Spolecne vstupy'!$F$19/'Spolecne vstupy'!H19</f>
        <v>0</v>
      </c>
      <c r="I58" s="51">
        <f>'Spolecne vstupy'!I35*'Spolecne vstupy'!$F$19/'Spolecne vstupy'!I19</f>
        <v>0</v>
      </c>
      <c r="J58" s="51">
        <f>'Spolecne vstupy'!J35*'Spolecne vstupy'!$F$19/'Spolecne vstupy'!J19</f>
        <v>0</v>
      </c>
      <c r="K58" s="51">
        <f>'Spolecne vstupy'!K35*'Spolecne vstupy'!$F$19/'Spolecne vstupy'!K19</f>
        <v>0</v>
      </c>
      <c r="L58" s="51">
        <f>'Spolecne vstupy'!L35*'Spolecne vstupy'!$F$19/'Spolecne vstupy'!L19</f>
        <v>0</v>
      </c>
      <c r="M58" s="51">
        <f>'Spolecne vstupy'!M35*'Spolecne vstupy'!$F$19/'Spolecne vstupy'!M19</f>
        <v>0</v>
      </c>
      <c r="N58" s="51">
        <f>'Spolecne vstupy'!N35*'Spolecne vstupy'!$F$19/'Spolecne vstupy'!N19</f>
        <v>0</v>
      </c>
      <c r="O58" s="51">
        <f>'Spolecne vstupy'!O35*'Spolecne vstupy'!$F$19/'Spolecne vstupy'!O19</f>
        <v>0</v>
      </c>
      <c r="P58" s="51">
        <f>'Spolecne vstupy'!P35*'Spolecne vstupy'!$F$19/'Spolecne vstupy'!P19</f>
        <v>0</v>
      </c>
    </row>
    <row r="59" spans="2:16" ht="12">
      <c r="B59" s="44" t="str">
        <f>CONCATENATE(Slovnik!$G$9,"  ",G2)</f>
        <v>uskutečněných v roce  2022</v>
      </c>
      <c r="C59" s="44"/>
      <c r="D59" s="44"/>
      <c r="E59" s="44"/>
      <c r="F59" s="53"/>
      <c r="G59" s="53">
        <f>'Spolecne vstupy'!G37*'Spolecne vstupy'!$G$19/'Spolecne vstupy'!G19</f>
        <v>0</v>
      </c>
      <c r="H59" s="53">
        <f>'Spolecne vstupy'!H37*'Spolecne vstupy'!$G$19/'Spolecne vstupy'!H19</f>
        <v>0</v>
      </c>
      <c r="I59" s="53">
        <f>'Spolecne vstupy'!I37*'Spolecne vstupy'!$G$19/'Spolecne vstupy'!I19</f>
        <v>0</v>
      </c>
      <c r="J59" s="53">
        <f>'Spolecne vstupy'!J37*'Spolecne vstupy'!$G$19/'Spolecne vstupy'!J19</f>
        <v>0</v>
      </c>
      <c r="K59" s="53">
        <f>'Spolecne vstupy'!K37*'Spolecne vstupy'!$G$19/'Spolecne vstupy'!K19</f>
        <v>0</v>
      </c>
      <c r="L59" s="53">
        <f>'Spolecne vstupy'!L37*'Spolecne vstupy'!$G$19/'Spolecne vstupy'!L19</f>
        <v>0</v>
      </c>
      <c r="M59" s="53">
        <f>'Spolecne vstupy'!M37*'Spolecne vstupy'!$G$19/'Spolecne vstupy'!M19</f>
        <v>0</v>
      </c>
      <c r="N59" s="53">
        <f>'Spolecne vstupy'!N37*'Spolecne vstupy'!$G$19/'Spolecne vstupy'!N19</f>
        <v>0</v>
      </c>
      <c r="O59" s="53">
        <f>'Spolecne vstupy'!O37*'Spolecne vstupy'!$G$19/'Spolecne vstupy'!O19</f>
        <v>0</v>
      </c>
      <c r="P59" s="53">
        <f>'Spolecne vstupy'!P37*'Spolecne vstupy'!$G$19/'Spolecne vstupy'!P19</f>
        <v>0</v>
      </c>
    </row>
    <row r="60" spans="2:16" ht="12">
      <c r="B60" s="44" t="str">
        <f>CONCATENATE(Slovnik!$G$9,"  ",H2)</f>
        <v>uskutečněných v roce  2023</v>
      </c>
      <c r="C60" s="44"/>
      <c r="D60" s="44"/>
      <c r="E60" s="44"/>
      <c r="F60" s="53"/>
      <c r="G60" s="53"/>
      <c r="H60" s="53">
        <f>'Spolecne vstupy'!H39*'Spolecne vstupy'!$H$19/'Spolecne vstupy'!H19</f>
        <v>0</v>
      </c>
      <c r="I60" s="53">
        <f>'Spolecne vstupy'!I39*'Spolecne vstupy'!$H$19/'Spolecne vstupy'!I19</f>
        <v>0</v>
      </c>
      <c r="J60" s="53">
        <f>'Spolecne vstupy'!J39*'Spolecne vstupy'!$H$19/'Spolecne vstupy'!J19</f>
        <v>0</v>
      </c>
      <c r="K60" s="53">
        <f>'Spolecne vstupy'!K39*'Spolecne vstupy'!$H$19/'Spolecne vstupy'!K19</f>
        <v>0</v>
      </c>
      <c r="L60" s="53">
        <f>'Spolecne vstupy'!L39*'Spolecne vstupy'!$H$19/'Spolecne vstupy'!L19</f>
        <v>0</v>
      </c>
      <c r="M60" s="53">
        <f>'Spolecne vstupy'!M39*'Spolecne vstupy'!$H$19/'Spolecne vstupy'!M19</f>
        <v>0</v>
      </c>
      <c r="N60" s="53">
        <f>'Spolecne vstupy'!N39*'Spolecne vstupy'!$H$19/'Spolecne vstupy'!N19</f>
        <v>0</v>
      </c>
      <c r="O60" s="53">
        <f>'Spolecne vstupy'!O39*'Spolecne vstupy'!$H$19/'Spolecne vstupy'!O19</f>
        <v>0</v>
      </c>
      <c r="P60" s="53">
        <f>'Spolecne vstupy'!P39*'Spolecne vstupy'!$H$19/'Spolecne vstupy'!P19</f>
        <v>0</v>
      </c>
    </row>
    <row r="61" spans="2:16" ht="12">
      <c r="B61" s="44" t="str">
        <f>CONCATENATE(Slovnik!$G$9,"  ",I2)</f>
        <v>uskutečněných v roce  2024</v>
      </c>
      <c r="C61" s="44"/>
      <c r="D61" s="44"/>
      <c r="E61" s="44"/>
      <c r="F61" s="53"/>
      <c r="G61" s="53"/>
      <c r="H61" s="53"/>
      <c r="I61" s="53">
        <f>'Spolecne vstupy'!I41*'Spolecne vstupy'!$I$19/'Spolecne vstupy'!I19</f>
        <v>0</v>
      </c>
      <c r="J61" s="53">
        <f>'Spolecne vstupy'!J41*'Spolecne vstupy'!$I$19/'Spolecne vstupy'!J19</f>
        <v>0</v>
      </c>
      <c r="K61" s="53">
        <f>'Spolecne vstupy'!K41*'Spolecne vstupy'!$I$19/'Spolecne vstupy'!K19</f>
        <v>0</v>
      </c>
      <c r="L61" s="53">
        <f>'Spolecne vstupy'!L41*'Spolecne vstupy'!$I$19/'Spolecne vstupy'!L19</f>
        <v>0</v>
      </c>
      <c r="M61" s="53">
        <f>'Spolecne vstupy'!M41*'Spolecne vstupy'!$I$19/'Spolecne vstupy'!M19</f>
        <v>0</v>
      </c>
      <c r="N61" s="53">
        <f>'Spolecne vstupy'!N41*'Spolecne vstupy'!$I$19/'Spolecne vstupy'!N19</f>
        <v>0</v>
      </c>
      <c r="O61" s="53">
        <f>'Spolecne vstupy'!O41*'Spolecne vstupy'!$I$19/'Spolecne vstupy'!O19</f>
        <v>0</v>
      </c>
      <c r="P61" s="53">
        <f>'Spolecne vstupy'!P41*'Spolecne vstupy'!$I$19/'Spolecne vstupy'!P19</f>
        <v>0</v>
      </c>
    </row>
    <row r="62" spans="2:16" ht="12">
      <c r="B62" s="44" t="str">
        <f>CONCATENATE(Slovnik!$G$9,"  ",J2)</f>
        <v>uskutečněných v roce  2025</v>
      </c>
      <c r="C62" s="44"/>
      <c r="D62" s="44"/>
      <c r="E62" s="44"/>
      <c r="F62" s="53"/>
      <c r="G62" s="53"/>
      <c r="H62" s="53"/>
      <c r="I62" s="53"/>
      <c r="J62" s="53">
        <f>'Spolecne vstupy'!J43*'Spolecne vstupy'!$J$19/'Spolecne vstupy'!J19</f>
        <v>0</v>
      </c>
      <c r="K62" s="53">
        <f>'Spolecne vstupy'!K43*'Spolecne vstupy'!$J$19/'Spolecne vstupy'!K19</f>
        <v>0</v>
      </c>
      <c r="L62" s="53">
        <f>'Spolecne vstupy'!L43*'Spolecne vstupy'!$J$19/'Spolecne vstupy'!L19</f>
        <v>0</v>
      </c>
      <c r="M62" s="53">
        <f>'Spolecne vstupy'!M43*'Spolecne vstupy'!$J$19/'Spolecne vstupy'!M19</f>
        <v>0</v>
      </c>
      <c r="N62" s="53">
        <f>'Spolecne vstupy'!N43*'Spolecne vstupy'!$J$19/'Spolecne vstupy'!N19</f>
        <v>0</v>
      </c>
      <c r="O62" s="53">
        <f>'Spolecne vstupy'!O43*'Spolecne vstupy'!$J$19/'Spolecne vstupy'!O19</f>
        <v>0</v>
      </c>
      <c r="P62" s="53">
        <f>'Spolecne vstupy'!P43*'Spolecne vstupy'!$J$19/'Spolecne vstupy'!P19</f>
        <v>0</v>
      </c>
    </row>
    <row r="63" spans="2:16" ht="12">
      <c r="B63" s="44" t="str">
        <f>CONCATENATE(Slovnik!$G$9,"  ",K2)</f>
        <v>uskutečněných v roce  2026</v>
      </c>
      <c r="C63" s="44"/>
      <c r="D63" s="44"/>
      <c r="E63" s="44"/>
      <c r="F63" s="53"/>
      <c r="G63" s="53"/>
      <c r="H63" s="53"/>
      <c r="I63" s="53"/>
      <c r="J63" s="53"/>
      <c r="K63" s="53">
        <f>'Spolecne vstupy'!K45*'Spolecne vstupy'!$K$19/'Spolecne vstupy'!K19</f>
        <v>0</v>
      </c>
      <c r="L63" s="53">
        <f>'Spolecne vstupy'!L45*'Spolecne vstupy'!$K$19/'Spolecne vstupy'!L19</f>
        <v>0</v>
      </c>
      <c r="M63" s="53">
        <f>'Spolecne vstupy'!M45*'Spolecne vstupy'!$K$19/'Spolecne vstupy'!M19</f>
        <v>0</v>
      </c>
      <c r="N63" s="53">
        <f>'Spolecne vstupy'!N45*'Spolecne vstupy'!$K$19/'Spolecne vstupy'!N19</f>
        <v>0</v>
      </c>
      <c r="O63" s="53">
        <f>'Spolecne vstupy'!O45*'Spolecne vstupy'!$K$19/'Spolecne vstupy'!O19</f>
        <v>0</v>
      </c>
      <c r="P63" s="53">
        <f>'Spolecne vstupy'!P45*'Spolecne vstupy'!$K$19/'Spolecne vstupy'!P19</f>
        <v>0</v>
      </c>
    </row>
    <row r="64" spans="2:16" ht="12">
      <c r="B64" s="44" t="str">
        <f>CONCATENATE(Slovnik!$G$9,"  ",L2)</f>
        <v>uskutečněných v roce  2027</v>
      </c>
      <c r="C64" s="44"/>
      <c r="D64" s="44"/>
      <c r="E64" s="44"/>
      <c r="F64" s="53"/>
      <c r="G64" s="53"/>
      <c r="H64" s="53"/>
      <c r="I64" s="53"/>
      <c r="J64" s="53"/>
      <c r="K64" s="53"/>
      <c r="L64" s="53">
        <f>'Spolecne vstupy'!L47*'Spolecne vstupy'!$L$19/'Spolecne vstupy'!L19</f>
        <v>0</v>
      </c>
      <c r="M64" s="53">
        <f>'Spolecne vstupy'!M47*'Spolecne vstupy'!$L$19/'Spolecne vstupy'!M19</f>
        <v>0</v>
      </c>
      <c r="N64" s="53">
        <f>'Spolecne vstupy'!N47*'Spolecne vstupy'!$L$19/'Spolecne vstupy'!N19</f>
        <v>0</v>
      </c>
      <c r="O64" s="53">
        <f>'Spolecne vstupy'!O47*'Spolecne vstupy'!$L$19/'Spolecne vstupy'!O19</f>
        <v>0</v>
      </c>
      <c r="P64" s="53">
        <f>'Spolecne vstupy'!P47*'Spolecne vstupy'!$L$19/'Spolecne vstupy'!P19</f>
        <v>0</v>
      </c>
    </row>
    <row r="65" spans="2:16" ht="12">
      <c r="B65" s="44" t="str">
        <f>CONCATENATE(Slovnik!$G$9,"  ",M2)</f>
        <v>uskutečněných v roce  2028</v>
      </c>
      <c r="C65" s="44"/>
      <c r="D65" s="44"/>
      <c r="E65" s="44"/>
      <c r="F65" s="53"/>
      <c r="G65" s="53"/>
      <c r="H65" s="53"/>
      <c r="I65" s="53"/>
      <c r="J65" s="53"/>
      <c r="K65" s="53"/>
      <c r="L65" s="53"/>
      <c r="M65" s="53">
        <f>'Spolecne vstupy'!M49*'Spolecne vstupy'!$M$19/'Spolecne vstupy'!M19</f>
        <v>0</v>
      </c>
      <c r="N65" s="53">
        <f>'Spolecne vstupy'!N49*'Spolecne vstupy'!$M$19/'Spolecne vstupy'!N19</f>
        <v>0</v>
      </c>
      <c r="O65" s="53">
        <f>'Spolecne vstupy'!O49*'Spolecne vstupy'!$M$19/'Spolecne vstupy'!O19</f>
        <v>0</v>
      </c>
      <c r="P65" s="53">
        <f>'Spolecne vstupy'!P49*'Spolecne vstupy'!$M$19/'Spolecne vstupy'!P19</f>
        <v>0</v>
      </c>
    </row>
    <row r="66" spans="2:16" ht="12">
      <c r="B66" s="44" t="str">
        <f>CONCATENATE(Slovnik!$G$9,"  ",N2)</f>
        <v>uskutečněných v roce  2029</v>
      </c>
      <c r="C66" s="44"/>
      <c r="D66" s="44"/>
      <c r="E66" s="44"/>
      <c r="F66" s="53"/>
      <c r="G66" s="53"/>
      <c r="H66" s="53"/>
      <c r="I66" s="53"/>
      <c r="J66" s="53"/>
      <c r="K66" s="53"/>
      <c r="L66" s="53"/>
      <c r="M66" s="53"/>
      <c r="N66" s="53">
        <f>'Spolecne vstupy'!N51*'Spolecne vstupy'!$N$19/'Spolecne vstupy'!N19</f>
        <v>0</v>
      </c>
      <c r="O66" s="53">
        <f>'Spolecne vstupy'!O51*'Spolecne vstupy'!$N$19/'Spolecne vstupy'!O19</f>
        <v>0</v>
      </c>
      <c r="P66" s="53">
        <f>'Spolecne vstupy'!P51*'Spolecne vstupy'!$N$19/'Spolecne vstupy'!P19</f>
        <v>0</v>
      </c>
    </row>
    <row r="67" spans="2:16" ht="12">
      <c r="B67" s="44" t="str">
        <f>CONCATENATE(Slovnik!$G$9,"  ",O2)</f>
        <v>uskutečněných v roce  2030</v>
      </c>
      <c r="C67" s="44"/>
      <c r="D67" s="44"/>
      <c r="E67" s="44"/>
      <c r="F67" s="53"/>
      <c r="G67" s="53"/>
      <c r="H67" s="53"/>
      <c r="I67" s="53"/>
      <c r="J67" s="53"/>
      <c r="K67" s="53"/>
      <c r="L67" s="53"/>
      <c r="M67" s="53"/>
      <c r="N67" s="53"/>
      <c r="O67" s="53">
        <f>'Spolecne vstupy'!O53*'Spolecne vstupy'!$O$19/'Spolecne vstupy'!O19</f>
        <v>0</v>
      </c>
      <c r="P67" s="53">
        <f>'Spolecne vstupy'!P53*'Spolecne vstupy'!$O$19/'Spolecne vstupy'!P19</f>
        <v>0</v>
      </c>
    </row>
    <row r="68" spans="2:16" ht="12">
      <c r="B68" s="45" t="str">
        <f>CONCATENATE(Slovnik!$G$9,"  ",P2)</f>
        <v>uskutečněných v roce  2031</v>
      </c>
      <c r="C68" s="45"/>
      <c r="D68" s="45"/>
      <c r="E68" s="4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>
        <f>'Spolecne vstupy'!P55*'Spolecne vstupy'!$P$19/'Spolecne vstupy'!P19</f>
        <v>0</v>
      </c>
    </row>
    <row r="69" spans="6:16" ht="12">
      <c r="F69" s="32">
        <f aca="true" t="shared" si="19" ref="F69:P69">SUM(F58:F68)</f>
        <v>0</v>
      </c>
      <c r="G69" s="32">
        <f t="shared" si="19"/>
        <v>0</v>
      </c>
      <c r="H69" s="32">
        <f t="shared" si="19"/>
        <v>0</v>
      </c>
      <c r="I69" s="32">
        <f t="shared" si="19"/>
        <v>0</v>
      </c>
      <c r="J69" s="32">
        <f t="shared" si="19"/>
        <v>0</v>
      </c>
      <c r="K69" s="32">
        <f t="shared" si="19"/>
        <v>0</v>
      </c>
      <c r="L69" s="32">
        <f t="shared" si="19"/>
        <v>0</v>
      </c>
      <c r="M69" s="32">
        <f t="shared" si="19"/>
        <v>0</v>
      </c>
      <c r="N69" s="32">
        <f t="shared" si="19"/>
        <v>0</v>
      </c>
      <c r="O69" s="32">
        <f t="shared" si="19"/>
        <v>0</v>
      </c>
      <c r="P69" s="32">
        <f t="shared" si="19"/>
        <v>0</v>
      </c>
    </row>
    <row r="70" ht="12">
      <c r="B70" s="18" t="str">
        <f>IF(CZ_EN=1,VLOOKUP("Nominální odpisy investic do infra. majetku v reálných cenách",Slovnik,1,0),VLOOKUP("Nominální odpisy investic do infra. majetku v reálných cenách",Slovnik,2,0))</f>
        <v>Nominální odpisy investic do infra. majetku v reálných cenách</v>
      </c>
    </row>
    <row r="71" spans="2:16" ht="12">
      <c r="B71" s="41" t="str">
        <f>CONCATENATE(Slovnik!$G$9,"  ",F2)</f>
        <v>uskutečněných v roce  2021</v>
      </c>
      <c r="C71" s="41"/>
      <c r="D71" s="41"/>
      <c r="E71" s="41"/>
      <c r="F71" s="51">
        <f>'Vstupy S'!F43*'Spolecne vstupy'!$F$19/'Spolecne vstupy'!F19</f>
        <v>0</v>
      </c>
      <c r="G71" s="51">
        <f>'Vstupy S'!G43*'Spolecne vstupy'!$F$19/'Spolecne vstupy'!G19</f>
        <v>0</v>
      </c>
      <c r="H71" s="51">
        <f>'Vstupy S'!H43*'Spolecne vstupy'!$F$19/'Spolecne vstupy'!H19</f>
        <v>0</v>
      </c>
      <c r="I71" s="51">
        <f>'Vstupy S'!I43*'Spolecne vstupy'!$F$19/'Spolecne vstupy'!I19</f>
        <v>0</v>
      </c>
      <c r="J71" s="51">
        <f>'Vstupy S'!J43*'Spolecne vstupy'!$F$19/'Spolecne vstupy'!J19</f>
        <v>0</v>
      </c>
      <c r="K71" s="51">
        <f>'Vstupy S'!K43*'Spolecne vstupy'!$F$19/'Spolecne vstupy'!K19</f>
        <v>0</v>
      </c>
      <c r="L71" s="51">
        <f>'Vstupy S'!L43*'Spolecne vstupy'!$F$19/'Spolecne vstupy'!L19</f>
        <v>0</v>
      </c>
      <c r="M71" s="51">
        <f>'Vstupy S'!M43*'Spolecne vstupy'!$F$19/'Spolecne vstupy'!M19</f>
        <v>0</v>
      </c>
      <c r="N71" s="51">
        <f>'Vstupy S'!N43*'Spolecne vstupy'!$F$19/'Spolecne vstupy'!N19</f>
        <v>0</v>
      </c>
      <c r="O71" s="51">
        <f>'Vstupy S'!O43*'Spolecne vstupy'!$F$19/'Spolecne vstupy'!O19</f>
        <v>0</v>
      </c>
      <c r="P71" s="51">
        <f>'Vstupy S'!P43*'Spolecne vstupy'!$F$19/'Spolecne vstupy'!P19</f>
        <v>0</v>
      </c>
    </row>
    <row r="72" spans="2:16" ht="12">
      <c r="B72" s="44" t="str">
        <f>CONCATENATE(Slovnik!$G$9,"  ",G2)</f>
        <v>uskutečněných v roce  2022</v>
      </c>
      <c r="C72" s="44"/>
      <c r="D72" s="44"/>
      <c r="E72" s="44"/>
      <c r="F72" s="53"/>
      <c r="G72" s="53">
        <f>'Vstupy S'!G45*'Spolecne vstupy'!$G$19/'Spolecne vstupy'!G19</f>
        <v>0</v>
      </c>
      <c r="H72" s="53">
        <f>'Vstupy S'!H45*'Spolecne vstupy'!$G$19/'Spolecne vstupy'!H19</f>
        <v>0</v>
      </c>
      <c r="I72" s="53">
        <f>'Vstupy S'!I45*'Spolecne vstupy'!$G$19/'Spolecne vstupy'!I19</f>
        <v>0</v>
      </c>
      <c r="J72" s="53">
        <f>'Vstupy S'!J45*'Spolecne vstupy'!$G$19/'Spolecne vstupy'!J19</f>
        <v>0</v>
      </c>
      <c r="K72" s="53">
        <f>'Vstupy S'!K45*'Spolecne vstupy'!$G$19/'Spolecne vstupy'!K19</f>
        <v>0</v>
      </c>
      <c r="L72" s="53">
        <f>'Vstupy S'!L45*'Spolecne vstupy'!$G$19/'Spolecne vstupy'!L19</f>
        <v>0</v>
      </c>
      <c r="M72" s="53">
        <f>'Vstupy S'!M45*'Spolecne vstupy'!$G$19/'Spolecne vstupy'!M19</f>
        <v>0</v>
      </c>
      <c r="N72" s="53">
        <f>'Vstupy S'!N45*'Spolecne vstupy'!$G$19/'Spolecne vstupy'!N19</f>
        <v>0</v>
      </c>
      <c r="O72" s="53">
        <f>'Vstupy S'!O45*'Spolecne vstupy'!$G$19/'Spolecne vstupy'!O19</f>
        <v>0</v>
      </c>
      <c r="P72" s="53">
        <f>'Vstupy S'!P45*'Spolecne vstupy'!$G$19/'Spolecne vstupy'!P19</f>
        <v>0</v>
      </c>
    </row>
    <row r="73" spans="2:16" ht="12">
      <c r="B73" s="44" t="str">
        <f>CONCATENATE(Slovnik!$G$9,"  ",H2)</f>
        <v>uskutečněných v roce  2023</v>
      </c>
      <c r="C73" s="44"/>
      <c r="D73" s="44"/>
      <c r="E73" s="44"/>
      <c r="F73" s="53"/>
      <c r="G73" s="53"/>
      <c r="H73" s="53">
        <f>'Vstupy S'!H47*'Spolecne vstupy'!$H$19/'Spolecne vstupy'!H19</f>
        <v>0</v>
      </c>
      <c r="I73" s="53">
        <f>'Vstupy S'!I47*'Spolecne vstupy'!$H$19/'Spolecne vstupy'!I19</f>
        <v>0</v>
      </c>
      <c r="J73" s="53">
        <f>'Vstupy S'!J47*'Spolecne vstupy'!$H$19/'Spolecne vstupy'!J19</f>
        <v>0</v>
      </c>
      <c r="K73" s="53">
        <f>'Vstupy S'!K47*'Spolecne vstupy'!$H$19/'Spolecne vstupy'!K19</f>
        <v>0</v>
      </c>
      <c r="L73" s="53">
        <f>'Vstupy S'!L47*'Spolecne vstupy'!$H$19/'Spolecne vstupy'!L19</f>
        <v>0</v>
      </c>
      <c r="M73" s="53">
        <f>'Vstupy S'!M47*'Spolecne vstupy'!$H$19/'Spolecne vstupy'!M19</f>
        <v>0</v>
      </c>
      <c r="N73" s="53">
        <f>'Vstupy S'!N47*'Spolecne vstupy'!$H$19/'Spolecne vstupy'!N19</f>
        <v>0</v>
      </c>
      <c r="O73" s="53">
        <f>'Vstupy S'!O47*'Spolecne vstupy'!$H$19/'Spolecne vstupy'!O19</f>
        <v>0</v>
      </c>
      <c r="P73" s="53">
        <f>'Vstupy S'!P47*'Spolecne vstupy'!$H$19/'Spolecne vstupy'!P19</f>
        <v>0</v>
      </c>
    </row>
    <row r="74" spans="2:16" ht="12">
      <c r="B74" s="44" t="str">
        <f>CONCATENATE(Slovnik!$G$9,"  ",I2)</f>
        <v>uskutečněných v roce  2024</v>
      </c>
      <c r="C74" s="44"/>
      <c r="D74" s="44"/>
      <c r="E74" s="44"/>
      <c r="F74" s="53"/>
      <c r="G74" s="53"/>
      <c r="H74" s="53"/>
      <c r="I74" s="53">
        <f>'Vstupy S'!I49*'Spolecne vstupy'!$I$19/'Spolecne vstupy'!I19</f>
        <v>0</v>
      </c>
      <c r="J74" s="53">
        <f>'Vstupy S'!J49*'Spolecne vstupy'!$I$19/'Spolecne vstupy'!J19</f>
        <v>0</v>
      </c>
      <c r="K74" s="53">
        <f>'Vstupy S'!K49*'Spolecne vstupy'!$I$19/'Spolecne vstupy'!K19</f>
        <v>0</v>
      </c>
      <c r="L74" s="53">
        <f>'Vstupy S'!L49*'Spolecne vstupy'!$I$19/'Spolecne vstupy'!L19</f>
        <v>0</v>
      </c>
      <c r="M74" s="53">
        <f>'Vstupy S'!M49*'Spolecne vstupy'!$I$19/'Spolecne vstupy'!M19</f>
        <v>0</v>
      </c>
      <c r="N74" s="53">
        <f>'Vstupy S'!N49*'Spolecne vstupy'!$I$19/'Spolecne vstupy'!N19</f>
        <v>0</v>
      </c>
      <c r="O74" s="53">
        <f>'Vstupy S'!O49*'Spolecne vstupy'!$I$19/'Spolecne vstupy'!O19</f>
        <v>0</v>
      </c>
      <c r="P74" s="53">
        <f>'Vstupy S'!P49*'Spolecne vstupy'!$I$19/'Spolecne vstupy'!P19</f>
        <v>0</v>
      </c>
    </row>
    <row r="75" spans="2:16" ht="12">
      <c r="B75" s="44" t="str">
        <f>CONCATENATE(Slovnik!$G$9,"  ",J2)</f>
        <v>uskutečněných v roce  2025</v>
      </c>
      <c r="C75" s="44"/>
      <c r="D75" s="44"/>
      <c r="E75" s="44"/>
      <c r="F75" s="53"/>
      <c r="G75" s="53"/>
      <c r="H75" s="53"/>
      <c r="I75" s="53"/>
      <c r="J75" s="53">
        <f>'Vstupy S'!J51*'Spolecne vstupy'!$J$19/'Spolecne vstupy'!J19</f>
        <v>0</v>
      </c>
      <c r="K75" s="53">
        <f>'Vstupy S'!K51*'Spolecne vstupy'!$J$19/'Spolecne vstupy'!K19</f>
        <v>0</v>
      </c>
      <c r="L75" s="53">
        <f>'Vstupy S'!L51*'Spolecne vstupy'!$J$19/'Spolecne vstupy'!L19</f>
        <v>0</v>
      </c>
      <c r="M75" s="53">
        <f>'Vstupy S'!M51*'Spolecne vstupy'!$J$19/'Spolecne vstupy'!M19</f>
        <v>0</v>
      </c>
      <c r="N75" s="53">
        <f>'Vstupy S'!N51*'Spolecne vstupy'!$J$19/'Spolecne vstupy'!N19</f>
        <v>0</v>
      </c>
      <c r="O75" s="53">
        <f>'Vstupy S'!O51*'Spolecne vstupy'!$J$19/'Spolecne vstupy'!O19</f>
        <v>0</v>
      </c>
      <c r="P75" s="53">
        <f>'Vstupy S'!P51*'Spolecne vstupy'!$J$19/'Spolecne vstupy'!P19</f>
        <v>0</v>
      </c>
    </row>
    <row r="76" spans="2:16" ht="12">
      <c r="B76" s="44" t="str">
        <f>CONCATENATE(Slovnik!$G$9,"  ",K2)</f>
        <v>uskutečněných v roce  2026</v>
      </c>
      <c r="C76" s="44"/>
      <c r="D76" s="44"/>
      <c r="E76" s="44"/>
      <c r="F76" s="53"/>
      <c r="G76" s="53"/>
      <c r="H76" s="53"/>
      <c r="I76" s="53"/>
      <c r="J76" s="53"/>
      <c r="K76" s="53">
        <f>'Vstupy S'!K53*'Spolecne vstupy'!$K$19/'Spolecne vstupy'!K19</f>
        <v>0</v>
      </c>
      <c r="L76" s="53">
        <f>'Vstupy S'!L53*'Spolecne vstupy'!$K$19/'Spolecne vstupy'!L19</f>
        <v>0</v>
      </c>
      <c r="M76" s="53">
        <f>'Vstupy S'!M53*'Spolecne vstupy'!$K$19/'Spolecne vstupy'!M19</f>
        <v>0</v>
      </c>
      <c r="N76" s="53">
        <f>'Vstupy S'!N53*'Spolecne vstupy'!$K$19/'Spolecne vstupy'!N19</f>
        <v>0</v>
      </c>
      <c r="O76" s="53">
        <f>'Vstupy S'!O53*'Spolecne vstupy'!$K$19/'Spolecne vstupy'!O19</f>
        <v>0</v>
      </c>
      <c r="P76" s="53">
        <f>'Vstupy S'!P53*'Spolecne vstupy'!$K$19/'Spolecne vstupy'!P19</f>
        <v>0</v>
      </c>
    </row>
    <row r="77" spans="2:16" ht="12">
      <c r="B77" s="44" t="str">
        <f>CONCATENATE(Slovnik!$G$9,"  ",L2)</f>
        <v>uskutečněných v roce  2027</v>
      </c>
      <c r="C77" s="44"/>
      <c r="D77" s="44"/>
      <c r="E77" s="44"/>
      <c r="F77" s="53"/>
      <c r="G77" s="53"/>
      <c r="H77" s="53"/>
      <c r="I77" s="53"/>
      <c r="J77" s="53"/>
      <c r="K77" s="53"/>
      <c r="L77" s="53">
        <f>'Vstupy S'!L55*'Spolecne vstupy'!$L$19/'Spolecne vstupy'!L19</f>
        <v>0</v>
      </c>
      <c r="M77" s="53">
        <f>'Vstupy S'!M55*'Spolecne vstupy'!$L$19/'Spolecne vstupy'!M19</f>
        <v>0</v>
      </c>
      <c r="N77" s="53">
        <f>'Vstupy S'!N55*'Spolecne vstupy'!$L$19/'Spolecne vstupy'!N19</f>
        <v>0</v>
      </c>
      <c r="O77" s="53">
        <f>'Vstupy S'!O55*'Spolecne vstupy'!$L$19/'Spolecne vstupy'!O19</f>
        <v>0</v>
      </c>
      <c r="P77" s="53">
        <f>'Vstupy S'!P55*'Spolecne vstupy'!$L$19/'Spolecne vstupy'!P19</f>
        <v>0</v>
      </c>
    </row>
    <row r="78" spans="2:16" ht="12">
      <c r="B78" s="44" t="str">
        <f>CONCATENATE(Slovnik!$G$9,"  ",M2)</f>
        <v>uskutečněných v roce  2028</v>
      </c>
      <c r="C78" s="44"/>
      <c r="D78" s="44"/>
      <c r="E78" s="44"/>
      <c r="F78" s="53"/>
      <c r="G78" s="53"/>
      <c r="H78" s="53"/>
      <c r="I78" s="53"/>
      <c r="J78" s="53"/>
      <c r="K78" s="53"/>
      <c r="L78" s="53"/>
      <c r="M78" s="53">
        <f>'Vstupy S'!M57*'Spolecne vstupy'!$M$19/'Spolecne vstupy'!M19</f>
        <v>0</v>
      </c>
      <c r="N78" s="53">
        <f>'Vstupy S'!N57*'Spolecne vstupy'!$M$19/'Spolecne vstupy'!N19</f>
        <v>0</v>
      </c>
      <c r="O78" s="53">
        <f>'Vstupy S'!O57*'Spolecne vstupy'!$M$19/'Spolecne vstupy'!O19</f>
        <v>0</v>
      </c>
      <c r="P78" s="53">
        <f>'Vstupy S'!P57*'Spolecne vstupy'!$M$19/'Spolecne vstupy'!P19</f>
        <v>0</v>
      </c>
    </row>
    <row r="79" spans="2:16" ht="12">
      <c r="B79" s="44" t="str">
        <f>CONCATENATE(Slovnik!$G$9,"  ",N2)</f>
        <v>uskutečněných v roce  2029</v>
      </c>
      <c r="C79" s="44"/>
      <c r="D79" s="44"/>
      <c r="E79" s="44"/>
      <c r="F79" s="53"/>
      <c r="G79" s="53"/>
      <c r="H79" s="53"/>
      <c r="I79" s="53"/>
      <c r="J79" s="53"/>
      <c r="K79" s="53"/>
      <c r="L79" s="53"/>
      <c r="M79" s="53"/>
      <c r="N79" s="53">
        <f>'Vstupy S'!N59*'Spolecne vstupy'!$N$19/'Spolecne vstupy'!N19</f>
        <v>0</v>
      </c>
      <c r="O79" s="53">
        <f>'Vstupy S'!O59*'Spolecne vstupy'!$N$19/'Spolecne vstupy'!O19</f>
        <v>0</v>
      </c>
      <c r="P79" s="53">
        <f>'Vstupy S'!P59*'Spolecne vstupy'!$N$19/'Spolecne vstupy'!P19</f>
        <v>0</v>
      </c>
    </row>
    <row r="80" spans="2:16" ht="12">
      <c r="B80" s="44" t="str">
        <f>CONCATENATE(Slovnik!$G$9,"  ",O2)</f>
        <v>uskutečněných v roce  2030</v>
      </c>
      <c r="C80" s="44"/>
      <c r="D80" s="44"/>
      <c r="E80" s="44"/>
      <c r="F80" s="53"/>
      <c r="G80" s="53"/>
      <c r="H80" s="53"/>
      <c r="I80" s="53"/>
      <c r="J80" s="53"/>
      <c r="K80" s="53"/>
      <c r="L80" s="53"/>
      <c r="M80" s="53"/>
      <c r="N80" s="53"/>
      <c r="O80" s="53">
        <f>'Vstupy S'!O61*'Spolecne vstupy'!$O$19/'Spolecne vstupy'!O19</f>
        <v>0</v>
      </c>
      <c r="P80" s="53">
        <f>'Vstupy S'!P61*'Spolecne vstupy'!$O$19/'Spolecne vstupy'!P19</f>
        <v>0</v>
      </c>
    </row>
    <row r="81" spans="2:16" ht="12">
      <c r="B81" s="45" t="str">
        <f>CONCATENATE(Slovnik!$G$9,"  ",P2)</f>
        <v>uskutečněných v roce  2031</v>
      </c>
      <c r="C81" s="45"/>
      <c r="D81" s="45"/>
      <c r="E81" s="45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f>'Vstupy S'!P63*'Spolecne vstupy'!$P$19/'Spolecne vstupy'!P19</f>
        <v>0</v>
      </c>
    </row>
    <row r="82" spans="6:16" ht="12">
      <c r="F82" s="32">
        <f>SUM(F71:F81)</f>
        <v>0</v>
      </c>
      <c r="G82" s="32">
        <f aca="true" t="shared" si="20" ref="G82:P82">SUM(G71:G81)</f>
        <v>0</v>
      </c>
      <c r="H82" s="32">
        <f t="shared" si="20"/>
        <v>0</v>
      </c>
      <c r="I82" s="32">
        <f t="shared" si="20"/>
        <v>0</v>
      </c>
      <c r="J82" s="32">
        <f t="shared" si="20"/>
        <v>0</v>
      </c>
      <c r="K82" s="32">
        <f t="shared" si="20"/>
        <v>0</v>
      </c>
      <c r="L82" s="32">
        <f t="shared" si="20"/>
        <v>0</v>
      </c>
      <c r="M82" s="32">
        <f t="shared" si="20"/>
        <v>0</v>
      </c>
      <c r="N82" s="32">
        <f t="shared" si="20"/>
        <v>0</v>
      </c>
      <c r="O82" s="32">
        <f t="shared" si="20"/>
        <v>0</v>
      </c>
      <c r="P82" s="32">
        <f t="shared" si="20"/>
        <v>0</v>
      </c>
    </row>
    <row r="83" ht="12"/>
    <row r="84" ht="12"/>
    <row r="85" ht="12"/>
  </sheetData>
  <sheetProtection password="97A7" sheet="1" objects="1" scenarios="1" formatColumns="0" formatRows="0"/>
  <conditionalFormatting sqref="G2:P2">
    <cfRule type="expression" priority="1" dxfId="2" stopIfTrue="1">
      <formula>G$1=1</formula>
    </cfRule>
    <cfRule type="expression" priority="2" dxfId="1" stopIfTrue="1">
      <formula>G$1=2</formula>
    </cfRule>
  </conditionalFormatting>
  <printOptions/>
  <pageMargins left="0.7" right="0.7" top="0.787401575" bottom="0.787401575" header="0.3" footer="0.3"/>
  <pageSetup orientation="portrait" paperSize="9"/>
  <ignoredErrors>
    <ignoredError sqref="B50" 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indexed="52"/>
    <pageSetUpPr fitToPage="1"/>
  </sheetPr>
  <dimension ref="A2:P73"/>
  <sheetViews>
    <sheetView showGridLines="0" zoomScalePageLayoutView="0" workbookViewId="0" topLeftCell="A29">
      <selection activeCell="A1" sqref="A1"/>
    </sheetView>
  </sheetViews>
  <sheetFormatPr defaultColWidth="0" defaultRowHeight="15" zeroHeight="1"/>
  <cols>
    <col min="1" max="2" width="4.57421875" style="1" customWidth="1"/>
    <col min="3" max="3" width="60.57421875" style="1" customWidth="1"/>
    <col min="4" max="4" width="9.8515625" style="18" customWidth="1"/>
    <col min="5" max="16" width="10.140625" style="1" customWidth="1"/>
    <col min="17" max="17" width="4.57421875" style="1" customWidth="1"/>
    <col min="18" max="16384" width="9.140625" style="1" hidden="1" customWidth="1"/>
  </cols>
  <sheetData>
    <row r="1" ht="14.25"/>
    <row r="2" spans="3:7" ht="23.25" customHeight="1">
      <c r="C2" s="2" t="str">
        <f>IF(CZ_EN=1,VLOOKUP("VÝSTUPY - STOČNÉ",Slovnik,1,0),VLOOKUP("VÝSTUPY - STOČNÉ",Slovnik,2,0))</f>
        <v>VÝSTUPY - STOČNÉ</v>
      </c>
      <c r="F2" s="307"/>
      <c r="G2" s="18" t="str">
        <f>IF(CZ_EN=1,VLOOKUP("budoucnost",Slovnik,1,0),VLOOKUP("budoucnost",Slovnik,2,0))</f>
        <v>budoucnost</v>
      </c>
    </row>
    <row r="3" ht="14.25">
      <c r="F3" s="307"/>
    </row>
    <row r="4" spans="2:16" ht="14.25">
      <c r="B4" s="124" t="s">
        <v>2</v>
      </c>
      <c r="C4" s="124" t="str">
        <f>IF(CZ_EN=1,VLOOKUP("ZMĚNY V REHOM",Slovnik,1,0),VLOOKUP("ZMĚNY V REHOM",Slovnik,2,0))</f>
        <v>ZMĚNY V REHOM</v>
      </c>
      <c r="D4" s="125"/>
      <c r="E4" s="126"/>
      <c r="F4" s="316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ht="14.25">
      <c r="F5" s="317"/>
    </row>
    <row r="6" spans="3:16" ht="14.25">
      <c r="C6" s="37" t="str">
        <f>'Vypocty S'!B12</f>
        <v>Přidělený provozní NEBO infrastrukturní majetek</v>
      </c>
      <c r="D6" s="10" t="str">
        <f>'Spolecne vstupy'!$C$17</f>
        <v>rok</v>
      </c>
      <c r="E6" s="217">
        <f>F6-1</f>
        <v>2020</v>
      </c>
      <c r="F6" s="308">
        <f>current</f>
        <v>2021</v>
      </c>
      <c r="G6" s="135">
        <f aca="true" t="shared" si="0" ref="G6:P6">F6+1</f>
        <v>2022</v>
      </c>
      <c r="H6" s="135">
        <f t="shared" si="0"/>
        <v>2023</v>
      </c>
      <c r="I6" s="135">
        <f t="shared" si="0"/>
        <v>2024</v>
      </c>
      <c r="J6" s="135">
        <f t="shared" si="0"/>
        <v>2025</v>
      </c>
      <c r="K6" s="135">
        <f t="shared" si="0"/>
        <v>2026</v>
      </c>
      <c r="L6" s="135">
        <f t="shared" si="0"/>
        <v>2027</v>
      </c>
      <c r="M6" s="135">
        <f t="shared" si="0"/>
        <v>2028</v>
      </c>
      <c r="N6" s="135">
        <f t="shared" si="0"/>
        <v>2029</v>
      </c>
      <c r="O6" s="135">
        <f t="shared" si="0"/>
        <v>2030</v>
      </c>
      <c r="P6" s="135">
        <f t="shared" si="0"/>
        <v>2031</v>
      </c>
    </row>
    <row r="7" spans="3:16" ht="14.25">
      <c r="C7" s="41" t="str">
        <f>'Vypocty S'!B7</f>
        <v>Investice</v>
      </c>
      <c r="D7" s="56" t="str">
        <f>'Vstupy S'!$D$6</f>
        <v>tis. Kč</v>
      </c>
      <c r="E7" s="218">
        <f>'Vypocty S'!E16</f>
        <v>0</v>
      </c>
      <c r="F7" s="309">
        <f>'Vypocty S'!F16</f>
        <v>0</v>
      </c>
      <c r="G7" s="43">
        <f>'Vypocty S'!G16</f>
        <v>0</v>
      </c>
      <c r="H7" s="43">
        <f>'Vypocty S'!H16</f>
        <v>0</v>
      </c>
      <c r="I7" s="43">
        <f>'Vypocty S'!I16</f>
        <v>0</v>
      </c>
      <c r="J7" s="43">
        <f>'Vypocty S'!J16</f>
        <v>0</v>
      </c>
      <c r="K7" s="43">
        <f>'Vypocty S'!K16</f>
        <v>0</v>
      </c>
      <c r="L7" s="43">
        <f>'Vypocty S'!L16</f>
        <v>0</v>
      </c>
      <c r="M7" s="43">
        <f>'Vypocty S'!M16</f>
        <v>0</v>
      </c>
      <c r="N7" s="43">
        <f>'Vypocty S'!N16</f>
        <v>0</v>
      </c>
      <c r="O7" s="43">
        <f>'Vypocty S'!O16</f>
        <v>0</v>
      </c>
      <c r="P7" s="43">
        <f>'Vypocty S'!P16</f>
        <v>0</v>
      </c>
    </row>
    <row r="8" spans="3:16" ht="14.25">
      <c r="C8" s="44" t="str">
        <f>'Vypocty S'!B5</f>
        <v>Odpisy</v>
      </c>
      <c r="D8" s="57" t="str">
        <f>'Vstupy S'!$D$6</f>
        <v>tis. Kč</v>
      </c>
      <c r="E8" s="219">
        <f>'Vypocty S'!E14+'Vypocty S'!E17</f>
        <v>0</v>
      </c>
      <c r="F8" s="310">
        <f>'Vypocty S'!F14+'Vypocty S'!F17</f>
        <v>0</v>
      </c>
      <c r="G8" s="19">
        <f>'Vypocty S'!G14+'Vypocty S'!G17</f>
        <v>0</v>
      </c>
      <c r="H8" s="19">
        <f>'Vypocty S'!H14+'Vypocty S'!H17</f>
        <v>0</v>
      </c>
      <c r="I8" s="19">
        <f>'Vypocty S'!I14+'Vypocty S'!I17</f>
        <v>0</v>
      </c>
      <c r="J8" s="19">
        <f>'Vypocty S'!J14+'Vypocty S'!J17</f>
        <v>0</v>
      </c>
      <c r="K8" s="19">
        <f>'Vypocty S'!K14+'Vypocty S'!K17</f>
        <v>0</v>
      </c>
      <c r="L8" s="19">
        <f>'Vypocty S'!L14+'Vypocty S'!L17</f>
        <v>0</v>
      </c>
      <c r="M8" s="19">
        <f>'Vypocty S'!M14+'Vypocty S'!M17</f>
        <v>0</v>
      </c>
      <c r="N8" s="19">
        <f>'Vypocty S'!N14+'Vypocty S'!N17</f>
        <v>0</v>
      </c>
      <c r="O8" s="19">
        <f>'Vypocty S'!O14+'Vypocty S'!O17</f>
        <v>0</v>
      </c>
      <c r="P8" s="19">
        <f>'Vypocty S'!P14+'Vypocty S'!P17</f>
        <v>0</v>
      </c>
    </row>
    <row r="9" spans="3:16" ht="14.25">
      <c r="C9" s="249" t="str">
        <f>'Vypocty S'!B6</f>
        <v>Odprodej</v>
      </c>
      <c r="D9" s="249" t="str">
        <f>'Vstupy S'!$D$6</f>
        <v>tis. Kč</v>
      </c>
      <c r="E9" s="212">
        <f>'Vypocty S'!E15</f>
        <v>0</v>
      </c>
      <c r="F9" s="311">
        <f>'Vypocty S'!F15</f>
        <v>0</v>
      </c>
      <c r="G9" s="47">
        <f>'Vypocty S'!G15</f>
        <v>0</v>
      </c>
      <c r="H9" s="47">
        <f>'Vypocty S'!H15</f>
        <v>0</v>
      </c>
      <c r="I9" s="47">
        <f>'Vypocty S'!I15</f>
        <v>0</v>
      </c>
      <c r="J9" s="47">
        <f>'Vypocty S'!J15</f>
        <v>0</v>
      </c>
      <c r="K9" s="47">
        <f>'Vypocty S'!K15</f>
        <v>0</v>
      </c>
      <c r="L9" s="47">
        <f>'Vypocty S'!L15</f>
        <v>0</v>
      </c>
      <c r="M9" s="47">
        <f>'Vypocty S'!M15</f>
        <v>0</v>
      </c>
      <c r="N9" s="47">
        <f>'Vypocty S'!N15</f>
        <v>0</v>
      </c>
      <c r="O9" s="47">
        <f>'Vypocty S'!O15</f>
        <v>0</v>
      </c>
      <c r="P9" s="47">
        <f>'Vypocty S'!P15</f>
        <v>0</v>
      </c>
    </row>
    <row r="10" ht="14.25">
      <c r="F10" s="307"/>
    </row>
    <row r="11" spans="3:6" ht="14.25">
      <c r="C11" s="37" t="str">
        <f>IF(CZ_EN=1,VLOOKUP("Provozní majetek - přidělený",Slovnik,1,0),VLOOKUP("Provozní majetek - přidělený",Slovnik,2,0))</f>
        <v>Provozní majetek - přidělený</v>
      </c>
      <c r="F11" s="307"/>
    </row>
    <row r="12" spans="3:16" ht="14.25">
      <c r="C12" s="41" t="str">
        <f>C7</f>
        <v>Investice</v>
      </c>
      <c r="D12" s="56" t="str">
        <f>'Vstupy S'!$D$6</f>
        <v>tis. Kč</v>
      </c>
      <c r="E12" s="218">
        <f>'Vypocty S'!E7*'Vstupy S'!E70</f>
        <v>0</v>
      </c>
      <c r="F12" s="309">
        <f>'Vypocty S'!F7*'Vstupy S'!F70</f>
        <v>0</v>
      </c>
      <c r="G12" s="43">
        <f>'Vypocty S'!G7*'Vstupy S'!G70</f>
        <v>0</v>
      </c>
      <c r="H12" s="43">
        <f>'Vypocty S'!H7*'Vstupy S'!H70</f>
        <v>0</v>
      </c>
      <c r="I12" s="43">
        <f>'Vypocty S'!I7*'Vstupy S'!I70</f>
        <v>0</v>
      </c>
      <c r="J12" s="43">
        <f>'Vypocty S'!J7*'Vstupy S'!J70</f>
        <v>0</v>
      </c>
      <c r="K12" s="43">
        <f>'Vypocty S'!K7*'Vstupy S'!K70</f>
        <v>0</v>
      </c>
      <c r="L12" s="43">
        <f>'Vypocty S'!L7*'Vstupy S'!L70</f>
        <v>0</v>
      </c>
      <c r="M12" s="43">
        <f>'Vypocty S'!M7*'Vstupy S'!M70</f>
        <v>0</v>
      </c>
      <c r="N12" s="43">
        <f>'Vypocty S'!N7*'Vstupy S'!N70</f>
        <v>0</v>
      </c>
      <c r="O12" s="43">
        <f>'Vypocty S'!O7*'Vstupy S'!O70</f>
        <v>0</v>
      </c>
      <c r="P12" s="43">
        <f>'Vypocty S'!P7*'Vstupy S'!P70</f>
        <v>0</v>
      </c>
    </row>
    <row r="13" spans="3:16" ht="14.25">
      <c r="C13" s="44" t="str">
        <f>C8</f>
        <v>Odpisy</v>
      </c>
      <c r="D13" s="57" t="str">
        <f>'Vstupy S'!$D$6</f>
        <v>tis. Kč</v>
      </c>
      <c r="E13" s="219">
        <f>('Vypocty S'!E5+'Vypocty S'!E8)*'Vstupy S'!E70</f>
        <v>0</v>
      </c>
      <c r="F13" s="310">
        <f>('Vypocty S'!F5+'Vypocty S'!F8)*'Vstupy S'!F70</f>
        <v>0</v>
      </c>
      <c r="G13" s="19">
        <f>('Vypocty S'!G5+'Vypocty S'!G8)*'Vstupy S'!G70</f>
        <v>0</v>
      </c>
      <c r="H13" s="19">
        <f>('Vypocty S'!H5+'Vypocty S'!H8)*'Vstupy S'!H70</f>
        <v>0</v>
      </c>
      <c r="I13" s="19">
        <f>('Vypocty S'!I5+'Vypocty S'!I8)*'Vstupy S'!I70</f>
        <v>0</v>
      </c>
      <c r="J13" s="19">
        <f>('Vypocty S'!J5+'Vypocty S'!J8)*'Vstupy S'!J70</f>
        <v>0</v>
      </c>
      <c r="K13" s="19">
        <f>('Vypocty S'!K5+'Vypocty S'!K8)*'Vstupy S'!K70</f>
        <v>0</v>
      </c>
      <c r="L13" s="19">
        <f>('Vypocty S'!L5+'Vypocty S'!L8)*'Vstupy S'!L70</f>
        <v>0</v>
      </c>
      <c r="M13" s="19">
        <f>('Vypocty S'!M5+'Vypocty S'!M8)*'Vstupy S'!M70</f>
        <v>0</v>
      </c>
      <c r="N13" s="19">
        <f>('Vypocty S'!N5+'Vypocty S'!N8)*'Vstupy S'!N70</f>
        <v>0</v>
      </c>
      <c r="O13" s="19">
        <f>('Vypocty S'!O5+'Vypocty S'!O8)*'Vstupy S'!O70</f>
        <v>0</v>
      </c>
      <c r="P13" s="19">
        <f>('Vypocty S'!P5+'Vypocty S'!P8)*'Vstupy S'!P70</f>
        <v>0</v>
      </c>
    </row>
    <row r="14" spans="3:16" ht="14.25">
      <c r="C14" s="249" t="str">
        <f>C9</f>
        <v>Odprodej</v>
      </c>
      <c r="D14" s="249" t="str">
        <f>'Vstupy S'!$D$6</f>
        <v>tis. Kč</v>
      </c>
      <c r="E14" s="212">
        <f>'Vypocty S'!E6*'Vstupy S'!E70</f>
        <v>0</v>
      </c>
      <c r="F14" s="311">
        <f>'Vypocty S'!F6*'Vstupy S'!F70</f>
        <v>0</v>
      </c>
      <c r="G14" s="47">
        <f>'Vypocty S'!G6*'Vstupy S'!G70</f>
        <v>0</v>
      </c>
      <c r="H14" s="47">
        <f>'Vypocty S'!H6*'Vstupy S'!H70</f>
        <v>0</v>
      </c>
      <c r="I14" s="47">
        <f>'Vypocty S'!I6*'Vstupy S'!I70</f>
        <v>0</v>
      </c>
      <c r="J14" s="47">
        <f>'Vypocty S'!J6*'Vstupy S'!J70</f>
        <v>0</v>
      </c>
      <c r="K14" s="47">
        <f>'Vypocty S'!K6*'Vstupy S'!K70</f>
        <v>0</v>
      </c>
      <c r="L14" s="47">
        <f>'Vypocty S'!L6*'Vstupy S'!L70</f>
        <v>0</v>
      </c>
      <c r="M14" s="47">
        <f>'Vypocty S'!M6*'Vstupy S'!M70</f>
        <v>0</v>
      </c>
      <c r="N14" s="47">
        <f>'Vypocty S'!N6*'Vstupy S'!N70</f>
        <v>0</v>
      </c>
      <c r="O14" s="47">
        <f>'Vypocty S'!O6*'Vstupy S'!O70</f>
        <v>0</v>
      </c>
      <c r="P14" s="47">
        <f>'Vypocty S'!P6*'Vstupy S'!P70</f>
        <v>0</v>
      </c>
    </row>
    <row r="15" ht="14.25">
      <c r="F15" s="317"/>
    </row>
    <row r="16" spans="2:16" ht="14.25">
      <c r="B16" s="124" t="s">
        <v>8</v>
      </c>
      <c r="C16" s="124" t="str">
        <f>IF(CZ_EN=1,VLOOKUP("REGULATORNÍ HODNOTA KAPITÁLU",Slovnik,1,0),VLOOKUP("REGULATORNÍ HODNOTA KAPITÁLU",Slovnik,2,0))</f>
        <v>REGULATORNÍ HODNOTA KAPITÁLU</v>
      </c>
      <c r="D16" s="125"/>
      <c r="E16" s="126"/>
      <c r="F16" s="316"/>
      <c r="G16" s="127">
        <f>'Vstupy S'!G1</f>
        <v>1</v>
      </c>
      <c r="H16" s="127">
        <f>'Vstupy S'!H1</f>
        <v>1</v>
      </c>
      <c r="I16" s="127">
        <f>'Vstupy S'!I1</f>
        <v>1</v>
      </c>
      <c r="J16" s="127">
        <f>'Vstupy S'!J1</f>
        <v>1</v>
      </c>
      <c r="K16" s="127">
        <f>'Vstupy S'!K1</f>
        <v>1</v>
      </c>
      <c r="L16" s="127">
        <f>'Vstupy S'!L1</f>
        <v>2</v>
      </c>
      <c r="M16" s="127">
        <f>'Vstupy S'!M1</f>
        <v>2</v>
      </c>
      <c r="N16" s="127">
        <f>'Vstupy S'!N1</f>
        <v>2</v>
      </c>
      <c r="O16" s="127">
        <f>'Vstupy S'!O1</f>
        <v>2</v>
      </c>
      <c r="P16" s="127">
        <f>'Vstupy S'!P1</f>
        <v>2</v>
      </c>
    </row>
    <row r="17" spans="2:16" ht="14.25">
      <c r="B17" s="18"/>
      <c r="C17" s="18"/>
      <c r="D17" s="10" t="str">
        <f>'Spolecne vstupy'!$C$17</f>
        <v>rok</v>
      </c>
      <c r="E17" s="217">
        <f>F17-1</f>
        <v>2020</v>
      </c>
      <c r="F17" s="326">
        <f>current</f>
        <v>2021</v>
      </c>
      <c r="G17" s="135">
        <f aca="true" t="shared" si="1" ref="G17:P17">F17+1</f>
        <v>2022</v>
      </c>
      <c r="H17" s="135">
        <f t="shared" si="1"/>
        <v>2023</v>
      </c>
      <c r="I17" s="135">
        <f t="shared" si="1"/>
        <v>2024</v>
      </c>
      <c r="J17" s="135">
        <f t="shared" si="1"/>
        <v>2025</v>
      </c>
      <c r="K17" s="135">
        <f t="shared" si="1"/>
        <v>2026</v>
      </c>
      <c r="L17" s="135">
        <f t="shared" si="1"/>
        <v>2027</v>
      </c>
      <c r="M17" s="135">
        <f t="shared" si="1"/>
        <v>2028</v>
      </c>
      <c r="N17" s="135">
        <f t="shared" si="1"/>
        <v>2029</v>
      </c>
      <c r="O17" s="135">
        <f t="shared" si="1"/>
        <v>2030</v>
      </c>
      <c r="P17" s="135">
        <f t="shared" si="1"/>
        <v>2031</v>
      </c>
    </row>
    <row r="18" spans="2:16" ht="14.25">
      <c r="B18" s="18" t="s">
        <v>42</v>
      </c>
      <c r="C18" s="41" t="str">
        <f>IF(CZ_EN=1,VLOOKUP("Regulatorní hodnota majetku - přidělený provozní NEBO infrastrukturní",Slovnik,1,0),VLOOKUP("Regulatorní hodnota majetku - přidělený provozní NEBO infrastrukturní",Slovnik,2,0))</f>
        <v>Regulatorní hodnota majetku - přidělený provozní NEBO infrastrukturní</v>
      </c>
      <c r="D18" s="56" t="str">
        <f>'Vstupy S'!$D$6</f>
        <v>tis. Kč</v>
      </c>
      <c r="E18" s="218">
        <f>'Vypocty S'!E18</f>
        <v>0</v>
      </c>
      <c r="F18" s="309">
        <f>'Vypocty S'!F18</f>
        <v>0</v>
      </c>
      <c r="G18" s="43">
        <f>'Vypocty S'!G18</f>
        <v>0</v>
      </c>
      <c r="H18" s="43">
        <f>'Vypocty S'!H18</f>
        <v>0</v>
      </c>
      <c r="I18" s="43">
        <f>'Vypocty S'!I18</f>
        <v>0</v>
      </c>
      <c r="J18" s="43">
        <f>'Vypocty S'!J18</f>
        <v>0</v>
      </c>
      <c r="K18" s="43">
        <f>'Vypocty S'!K18</f>
        <v>0</v>
      </c>
      <c r="L18" s="43">
        <f>'Vypocty S'!L18</f>
        <v>0</v>
      </c>
      <c r="M18" s="43">
        <f>'Vypocty S'!M18</f>
        <v>0</v>
      </c>
      <c r="N18" s="43">
        <f>'Vypocty S'!N18</f>
        <v>0</v>
      </c>
      <c r="O18" s="43">
        <f>'Vypocty S'!O18</f>
        <v>0</v>
      </c>
      <c r="P18" s="43">
        <f>'Vypocty S'!P18</f>
        <v>0</v>
      </c>
    </row>
    <row r="19" spans="2:16" ht="14.25">
      <c r="B19" s="18" t="s">
        <v>43</v>
      </c>
      <c r="C19" s="44" t="str">
        <f>IF(CZ_EN=1,VLOOKUP("Regulatorní hodnota majetku - provozní",Slovnik,1,0),VLOOKUP("Regulatorní hodnota majetku - provozní",Slovnik,2,0))</f>
        <v>Regulatorní hodnota majetku - provozní</v>
      </c>
      <c r="D19" s="57" t="str">
        <f>'Vstupy S'!$D$6</f>
        <v>tis. Kč</v>
      </c>
      <c r="E19" s="219">
        <f>'Vypocty S'!E10</f>
        <v>0</v>
      </c>
      <c r="F19" s="310">
        <f>'Vypocty S'!F10</f>
        <v>0</v>
      </c>
      <c r="G19" s="19">
        <f>'Vypocty S'!G10</f>
        <v>0</v>
      </c>
      <c r="H19" s="19">
        <f>'Vypocty S'!H10</f>
        <v>0</v>
      </c>
      <c r="I19" s="19">
        <f>'Vypocty S'!I10</f>
        <v>0</v>
      </c>
      <c r="J19" s="19">
        <f>'Vypocty S'!J10</f>
        <v>0</v>
      </c>
      <c r="K19" s="19">
        <f>'Vypocty S'!K10</f>
        <v>0</v>
      </c>
      <c r="L19" s="19">
        <f>'Vypocty S'!L10</f>
        <v>0</v>
      </c>
      <c r="M19" s="19">
        <f>'Vypocty S'!M10</f>
        <v>0</v>
      </c>
      <c r="N19" s="19">
        <f>'Vypocty S'!N10</f>
        <v>0</v>
      </c>
      <c r="O19" s="19">
        <f>'Vypocty S'!O10</f>
        <v>0</v>
      </c>
      <c r="P19" s="19">
        <f>'Vypocty S'!P10</f>
        <v>0</v>
      </c>
    </row>
    <row r="20" spans="2:16" ht="14.25">
      <c r="B20" s="23" t="str">
        <f>B21</f>
        <v>3.</v>
      </c>
      <c r="C20" s="23" t="str">
        <f>IF(CZ_EN=1,VLOOKUP("Pracovní kapitál",Slovnik,1,0),VLOOKUP("Pracovní kapitál",Slovnik,2,0))</f>
        <v>Pracovní kapitál</v>
      </c>
      <c r="D20" s="23" t="str">
        <f>'Vstupy S'!$D$6</f>
        <v>tis. Kč</v>
      </c>
      <c r="E20" s="219">
        <f>'Vypocty S'!E53-'Vystupy S'!E18-'Vystupy S'!E19-'Vystupy S'!E22</f>
        <v>0</v>
      </c>
      <c r="F20" s="310">
        <f>'Vypocty S'!F53-'Vystupy S'!F18-'Vystupy S'!F19-'Vystupy S'!F22</f>
        <v>0</v>
      </c>
      <c r="G20" s="19">
        <f>'Vypocty S'!G53-'Vystupy S'!G18-'Vystupy S'!G19-'Vystupy S'!G22</f>
        <v>1093.7226400221539</v>
      </c>
      <c r="H20" s="19">
        <f>'Vypocty S'!H53-'Vystupy S'!H18-'Vystupy S'!H19-'Vystupy S'!H22</f>
        <v>1412.269641023452</v>
      </c>
      <c r="I20" s="19">
        <f>'Vypocty S'!I53-'Vystupy S'!I18-'Vystupy S'!I19-'Vystupy S'!I22</f>
        <v>1472.3649195764692</v>
      </c>
      <c r="J20" s="19">
        <f>'Vypocty S'!J53-'Vystupy S'!J18-'Vystupy S'!J19-'Vystupy S'!J22</f>
        <v>1526.9969909883018</v>
      </c>
      <c r="K20" s="19">
        <f>'Vypocty S'!K53-'Vystupy S'!K18-'Vystupy S'!K19-'Vystupy S'!K22</f>
        <v>1554.3130266942235</v>
      </c>
      <c r="L20" s="19">
        <f>'Vypocty S'!L53-'Vystupy S'!L18-'Vystupy S'!L19-'Vystupy S'!L22</f>
        <v>1554.3130266942235</v>
      </c>
      <c r="M20" s="19">
        <f>'Vypocty S'!M53-'Vystupy S'!M18-'Vystupy S'!M19-'Vystupy S'!M22</f>
        <v>1554.3130266942235</v>
      </c>
      <c r="N20" s="19">
        <f>'Vypocty S'!N53-'Vystupy S'!N18-'Vystupy S'!N19-'Vystupy S'!N22</f>
        <v>1554.3130266942235</v>
      </c>
      <c r="O20" s="19">
        <f>'Vypocty S'!O53-'Vystupy S'!O18-'Vystupy S'!O19-'Vystupy S'!O22</f>
        <v>1554.3130266942235</v>
      </c>
      <c r="P20" s="19">
        <f>'Vypocty S'!P53-'Vystupy S'!P18-'Vystupy S'!P19-'Vystupy S'!P22</f>
        <v>1554.3130266942235</v>
      </c>
    </row>
    <row r="21" spans="2:16" ht="13.5" hidden="1">
      <c r="B21" s="18" t="s">
        <v>46</v>
      </c>
      <c r="C21" s="44" t="str">
        <f>CONCATENATE(IF(CZ_EN=1,VLOOKUP("Pracovní kapitál",Slovnik,1,0),VLOOKUP("Pracovní kapitál",Slovnik,2,0))," ",IF(CZ_EN=1,VLOOKUP("bez příjmové části",Slovnik,1,0),VLOOKUP("bez příjmové části",Slovnik,2,0)))</f>
        <v>Pracovní kapitál bez příjmové části</v>
      </c>
      <c r="D21" s="57" t="str">
        <f>'Vstupy S'!$D$6</f>
        <v>tis. Kč</v>
      </c>
      <c r="E21" s="219">
        <f>'Vypocty S'!E24</f>
        <v>0</v>
      </c>
      <c r="F21" s="310">
        <f>'Vypocty S'!F24</f>
        <v>0</v>
      </c>
      <c r="G21" s="19">
        <f>'Vypocty S'!G24</f>
        <v>-170.54794520547946</v>
      </c>
      <c r="H21" s="19">
        <f>'Vypocty S'!H24</f>
        <v>-232.84931506849315</v>
      </c>
      <c r="I21" s="19">
        <f>'Vypocty S'!I24</f>
        <v>-244.6027397260274</v>
      </c>
      <c r="J21" s="19">
        <f>'Vypocty S'!J24</f>
        <v>-255.2876712328767</v>
      </c>
      <c r="K21" s="19">
        <f>'Vypocty S'!K24</f>
        <v>-260.63013698630135</v>
      </c>
      <c r="L21" s="19">
        <f>'Vypocty S'!L24</f>
        <v>-260.63013698630135</v>
      </c>
      <c r="M21" s="19">
        <f>'Vypocty S'!M24</f>
        <v>-260.63013698630135</v>
      </c>
      <c r="N21" s="19">
        <f>'Vypocty S'!N24</f>
        <v>-260.63013698630135</v>
      </c>
      <c r="O21" s="19">
        <f>'Vypocty S'!O24</f>
        <v>-260.63013698630135</v>
      </c>
      <c r="P21" s="19">
        <f>'Vypocty S'!P24</f>
        <v>-260.63013698630135</v>
      </c>
    </row>
    <row r="22" spans="2:16" ht="14.25">
      <c r="B22" s="18" t="s">
        <v>48</v>
      </c>
      <c r="C22" s="44" t="str">
        <f>IF(CZ_EN=1,VLOOKUP("Zbývající předplacené nájemné",Slovnik,1,0),VLOOKUP("Zbývající předplacené nájemné",Slovnik,2,0))</f>
        <v>Zbývající předplacené nájemné</v>
      </c>
      <c r="D22" s="57" t="str">
        <f>'Vstupy S'!$D$6</f>
        <v>tis. Kč</v>
      </c>
      <c r="E22" s="219">
        <f>'Vstupy S'!E74</f>
        <v>0</v>
      </c>
      <c r="F22" s="310">
        <f>'Vstupy S'!F74</f>
        <v>0</v>
      </c>
      <c r="G22" s="19">
        <f>'Vstupy S'!G74</f>
        <v>0</v>
      </c>
      <c r="H22" s="19">
        <f>'Vstupy S'!H74</f>
        <v>0</v>
      </c>
      <c r="I22" s="19">
        <f>'Vstupy S'!I74</f>
        <v>0</v>
      </c>
      <c r="J22" s="19">
        <f>'Vstupy S'!J74</f>
        <v>0</v>
      </c>
      <c r="K22" s="19">
        <f>'Vstupy S'!K74</f>
        <v>0</v>
      </c>
      <c r="L22" s="19">
        <f>'Vstupy S'!L74</f>
        <v>0</v>
      </c>
      <c r="M22" s="19">
        <f>'Vstupy S'!M74</f>
        <v>0</v>
      </c>
      <c r="N22" s="19">
        <f>'Vstupy S'!N74</f>
        <v>0</v>
      </c>
      <c r="O22" s="19">
        <f>'Vstupy S'!O74</f>
        <v>0</v>
      </c>
      <c r="P22" s="19">
        <f>'Vstupy S'!P74</f>
        <v>0</v>
      </c>
    </row>
    <row r="23" spans="2:16" ht="14.25">
      <c r="B23" s="18" t="s">
        <v>49</v>
      </c>
      <c r="C23" s="45" t="str">
        <f>IF(CZ_EN=1,VLOOKUP("Očekávání",Slovnik,1,0),VLOOKUP("Očekávání",Slovnik,2,0))</f>
        <v>Očekávání</v>
      </c>
      <c r="D23" s="58" t="str">
        <f>'Vstupy S'!$D$6</f>
        <v>tis. Kč</v>
      </c>
      <c r="E23" s="212">
        <f>IF('Vypocty S'!$D$32=1,'Vypocty S'!E33,'Vypocty S'!E36)</f>
        <v>0</v>
      </c>
      <c r="F23" s="311">
        <f>IF('Vypocty S'!$D$32=1,'Vypocty S'!F33,'Vypocty S'!F36)</f>
        <v>0</v>
      </c>
      <c r="G23" s="47">
        <f>IF('Vypocty S'!$D$32=1,'Vypocty S'!G33,'Vypocty S'!G36)</f>
        <v>0</v>
      </c>
      <c r="H23" s="47">
        <f>IF('Vypocty S'!$D$32=1,'Vypocty S'!H33,'Vypocty S'!H36)</f>
        <v>0</v>
      </c>
      <c r="I23" s="47">
        <f>IF('Vypocty S'!$D$32=1,'Vypocty S'!I33,'Vypocty S'!I36)</f>
        <v>0</v>
      </c>
      <c r="J23" s="47">
        <f>IF('Vypocty S'!$D$32=1,'Vypocty S'!J33,'Vypocty S'!J36)</f>
        <v>0</v>
      </c>
      <c r="K23" s="47">
        <f>IF('Vypocty S'!$D$32=1,'Vypocty S'!K33,'Vypocty S'!K36)</f>
        <v>0</v>
      </c>
      <c r="L23" s="47">
        <f>IF('Vypocty S'!$D$32=1,'Vypocty S'!L33,'Vypocty S'!L36)</f>
        <v>0</v>
      </c>
      <c r="M23" s="47">
        <f>IF('Vypocty S'!$D$32=1,'Vypocty S'!M33,'Vypocty S'!M36)</f>
        <v>0</v>
      </c>
      <c r="N23" s="47">
        <f>IF('Vypocty S'!$D$32=1,'Vypocty S'!N33,'Vypocty S'!N36)</f>
        <v>0</v>
      </c>
      <c r="O23" s="47">
        <f>IF('Vypocty S'!$D$32=1,'Vypocty S'!O33,'Vypocty S'!O36)</f>
        <v>0</v>
      </c>
      <c r="P23" s="47">
        <f>IF('Vypocty S'!$D$32=1,'Vypocty S'!P33,'Vypocty S'!P36)</f>
        <v>0</v>
      </c>
    </row>
    <row r="24" spans="2:16" ht="14.25">
      <c r="B24" s="18"/>
      <c r="C24" s="59" t="str">
        <f>IF(CZ_EN=1,VLOOKUP("ReHoK celkem",Slovnik,1,0),VLOOKUP("ReHoK celkem",Slovnik,2,0))</f>
        <v>ReHoK celkem</v>
      </c>
      <c r="D24" s="60" t="str">
        <f>'Vstupy S'!$D$6</f>
        <v>tis. Kč</v>
      </c>
      <c r="E24" s="212">
        <f>E18+E19+E20+E22+E23</f>
        <v>0</v>
      </c>
      <c r="F24" s="311">
        <f aca="true" t="shared" si="2" ref="F24:P24">F18+F19+F20+F22+F23</f>
        <v>0</v>
      </c>
      <c r="G24" s="47">
        <f t="shared" si="2"/>
        <v>1093.7226400221539</v>
      </c>
      <c r="H24" s="47">
        <f t="shared" si="2"/>
        <v>1412.269641023452</v>
      </c>
      <c r="I24" s="47">
        <f t="shared" si="2"/>
        <v>1472.3649195764692</v>
      </c>
      <c r="J24" s="47">
        <f t="shared" si="2"/>
        <v>1526.9969909883018</v>
      </c>
      <c r="K24" s="47">
        <f t="shared" si="2"/>
        <v>1554.3130266942235</v>
      </c>
      <c r="L24" s="47">
        <f t="shared" si="2"/>
        <v>1554.3130266942235</v>
      </c>
      <c r="M24" s="47">
        <f t="shared" si="2"/>
        <v>1554.3130266942235</v>
      </c>
      <c r="N24" s="47">
        <f t="shared" si="2"/>
        <v>1554.3130266942235</v>
      </c>
      <c r="O24" s="47">
        <f t="shared" si="2"/>
        <v>1554.3130266942235</v>
      </c>
      <c r="P24" s="47">
        <f t="shared" si="2"/>
        <v>1554.3130266942235</v>
      </c>
    </row>
    <row r="25" spans="2:16" ht="13.5" hidden="1">
      <c r="B25" s="18"/>
      <c r="C25" s="59" t="str">
        <f>IF(CZ_EN=1,VLOOKUP("ReHoK celkem",Slovnik,1,0),VLOOKUP("ReHoK celkem",Slovnik,2,0))</f>
        <v>ReHoK celkem</v>
      </c>
      <c r="D25" s="60" t="str">
        <f>'Vstupy S'!$D$6</f>
        <v>tis. Kč</v>
      </c>
      <c r="E25" s="216">
        <f>E18+E19+E21+E22+E23</f>
        <v>0</v>
      </c>
      <c r="F25" s="312">
        <f aca="true" t="shared" si="3" ref="F25:P25">F18+F19+F21+F22+F23</f>
        <v>0</v>
      </c>
      <c r="G25" s="20">
        <f t="shared" si="3"/>
        <v>-170.54794520547946</v>
      </c>
      <c r="H25" s="20">
        <f t="shared" si="3"/>
        <v>-232.84931506849315</v>
      </c>
      <c r="I25" s="20">
        <f t="shared" si="3"/>
        <v>-244.6027397260274</v>
      </c>
      <c r="J25" s="20">
        <f t="shared" si="3"/>
        <v>-255.2876712328767</v>
      </c>
      <c r="K25" s="20">
        <f t="shared" si="3"/>
        <v>-260.63013698630135</v>
      </c>
      <c r="L25" s="20">
        <f t="shared" si="3"/>
        <v>-260.63013698630135</v>
      </c>
      <c r="M25" s="20">
        <f t="shared" si="3"/>
        <v>-260.63013698630135</v>
      </c>
      <c r="N25" s="20">
        <f t="shared" si="3"/>
        <v>-260.63013698630135</v>
      </c>
      <c r="O25" s="20">
        <f t="shared" si="3"/>
        <v>-260.63013698630135</v>
      </c>
      <c r="P25" s="20">
        <f t="shared" si="3"/>
        <v>-260.63013698630135</v>
      </c>
    </row>
    <row r="26" spans="2:6" ht="14.25">
      <c r="B26" s="18"/>
      <c r="C26" s="18"/>
      <c r="F26" s="307"/>
    </row>
    <row r="27" spans="2:16" ht="14.25">
      <c r="B27" s="124" t="s">
        <v>10</v>
      </c>
      <c r="C27" s="124" t="str">
        <f>IF(CZ_EN=1,VLOOKUP("POŽADOVANÝ PŘÍJEM",Slovnik,1,0),VLOOKUP("POŽADOVANÝ PŘÍJEM",Slovnik,2,0))</f>
        <v>POŽADOVANÝ PŘÍJEM</v>
      </c>
      <c r="D27" s="125"/>
      <c r="E27" s="126"/>
      <c r="F27" s="31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2:16" ht="14.25">
      <c r="B28" s="18"/>
      <c r="C28" s="18"/>
      <c r="D28" s="10" t="str">
        <f>'Spolecne vstupy'!$C$17</f>
        <v>rok</v>
      </c>
      <c r="E28" s="217">
        <f>F28-1</f>
        <v>2020</v>
      </c>
      <c r="F28" s="326">
        <f>current</f>
        <v>2021</v>
      </c>
      <c r="G28" s="135">
        <f aca="true" t="shared" si="4" ref="G28:P28">F28+1</f>
        <v>2022</v>
      </c>
      <c r="H28" s="135">
        <f t="shared" si="4"/>
        <v>2023</v>
      </c>
      <c r="I28" s="135">
        <f t="shared" si="4"/>
        <v>2024</v>
      </c>
      <c r="J28" s="135">
        <f t="shared" si="4"/>
        <v>2025</v>
      </c>
      <c r="K28" s="135">
        <f t="shared" si="4"/>
        <v>2026</v>
      </c>
      <c r="L28" s="135">
        <f t="shared" si="4"/>
        <v>2027</v>
      </c>
      <c r="M28" s="135">
        <f t="shared" si="4"/>
        <v>2028</v>
      </c>
      <c r="N28" s="135">
        <f t="shared" si="4"/>
        <v>2029</v>
      </c>
      <c r="O28" s="135">
        <f t="shared" si="4"/>
        <v>2030</v>
      </c>
      <c r="P28" s="135">
        <f t="shared" si="4"/>
        <v>2031</v>
      </c>
    </row>
    <row r="29" spans="2:16" ht="14.25">
      <c r="B29" s="18" t="s">
        <v>42</v>
      </c>
      <c r="C29" s="41" t="str">
        <f>IF(CZ_EN=1,VLOOKUP("Nájemné",Slovnik,1,0),VLOOKUP("Nájemné",Slovnik,2,0))</f>
        <v>Nájemné</v>
      </c>
      <c r="D29" s="56" t="str">
        <f>'Vstupy S'!$D$6</f>
        <v>tis. Kč</v>
      </c>
      <c r="E29" s="218">
        <f>'Vstupy S'!E6</f>
        <v>0</v>
      </c>
      <c r="F29" s="309">
        <f>'Vstupy S'!F6</f>
        <v>0</v>
      </c>
      <c r="G29" s="43">
        <f>'Vstupy S'!G6</f>
        <v>880</v>
      </c>
      <c r="H29" s="43">
        <f>'Vstupy S'!H6</f>
        <v>880</v>
      </c>
      <c r="I29" s="43">
        <f>'Vstupy S'!I6</f>
        <v>880</v>
      </c>
      <c r="J29" s="43">
        <f>'Vstupy S'!J6</f>
        <v>880</v>
      </c>
      <c r="K29" s="43">
        <f>'Vstupy S'!K6</f>
        <v>880</v>
      </c>
      <c r="L29" s="43">
        <f>'Vstupy S'!L6</f>
        <v>880</v>
      </c>
      <c r="M29" s="43">
        <f>'Vstupy S'!M6</f>
        <v>880</v>
      </c>
      <c r="N29" s="43">
        <f>'Vstupy S'!N6</f>
        <v>880</v>
      </c>
      <c r="O29" s="43">
        <f>'Vstupy S'!O6</f>
        <v>880</v>
      </c>
      <c r="P29" s="43">
        <f>'Vstupy S'!P6</f>
        <v>880</v>
      </c>
    </row>
    <row r="30" spans="2:16" ht="14.25">
      <c r="B30" s="18" t="s">
        <v>43</v>
      </c>
      <c r="C30" s="44" t="str">
        <f>IF(CZ_EN=1,VLOOKUP("Provozní náklady",Slovnik,1,0),VLOOKUP("Provozní náklady",Slovnik,2,0))</f>
        <v>Provozní náklady</v>
      </c>
      <c r="D30" s="57" t="str">
        <f>'Vstupy S'!$D$6</f>
        <v>tis. Kč</v>
      </c>
      <c r="E30" s="219">
        <f>'Vstupy S'!E103</f>
        <v>0</v>
      </c>
      <c r="F30" s="310">
        <f>'Vstupy S'!F103</f>
        <v>0</v>
      </c>
      <c r="G30" s="19">
        <f>'Vstupy S'!G103</f>
        <v>4150</v>
      </c>
      <c r="H30" s="19">
        <f>'Vstupy S'!H103</f>
        <v>5666</v>
      </c>
      <c r="I30" s="19">
        <f>'Vstupy S'!I103</f>
        <v>5952</v>
      </c>
      <c r="J30" s="19">
        <f>'Vstupy S'!J103</f>
        <v>6212</v>
      </c>
      <c r="K30" s="19">
        <f>'Vstupy S'!K103</f>
        <v>6342</v>
      </c>
      <c r="L30" s="19">
        <f>'Vstupy S'!L103</f>
        <v>6342</v>
      </c>
      <c r="M30" s="19">
        <f>'Vstupy S'!M103</f>
        <v>6342</v>
      </c>
      <c r="N30" s="19">
        <f>'Vstupy S'!N103</f>
        <v>6342</v>
      </c>
      <c r="O30" s="19">
        <f>'Vstupy S'!O103</f>
        <v>6342</v>
      </c>
      <c r="P30" s="19">
        <f>'Vstupy S'!P103</f>
        <v>6342</v>
      </c>
    </row>
    <row r="31" spans="2:16" ht="14.25">
      <c r="B31" s="18" t="s">
        <v>54</v>
      </c>
      <c r="C31" s="44" t="str">
        <f>IF(CZ_EN=1,VLOOKUP("Odpisy - nominální",Slovnik,1,0),VLOOKUP("Odpisy - nominální",Slovnik,2,0))</f>
        <v>Odpisy - nominální</v>
      </c>
      <c r="D31" s="57" t="str">
        <f>'Vstupy S'!$D$6</f>
        <v>tis. Kč</v>
      </c>
      <c r="E31" s="219">
        <f>IF(opm=3,0,IF(opm=2,'Vypocty S'!E28,'Vypocty S'!E27+'Vypocty S'!E28))</f>
        <v>0</v>
      </c>
      <c r="F31" s="310">
        <f>IF(opm=3,0,IF(opm=2,'Vypocty S'!F28,'Vypocty S'!F27+'Vypocty S'!F28))</f>
        <v>0</v>
      </c>
      <c r="G31" s="19">
        <f>IF(opm=3,0,IF(opm=2,'Vypocty S'!G28,'Vypocty S'!G27+'Vypocty S'!G28))</f>
        <v>0</v>
      </c>
      <c r="H31" s="19">
        <f>IF(opm=3,0,IF(opm=2,'Vypocty S'!H28,'Vypocty S'!H27+'Vypocty S'!H28))</f>
        <v>0</v>
      </c>
      <c r="I31" s="19">
        <f>IF(opm=3,0,IF(opm=2,'Vypocty S'!I28,'Vypocty S'!I27+'Vypocty S'!I28))</f>
        <v>0</v>
      </c>
      <c r="J31" s="19">
        <f>IF(opm=3,0,IF(opm=2,'Vypocty S'!J28,'Vypocty S'!J27+'Vypocty S'!J28))</f>
        <v>0</v>
      </c>
      <c r="K31" s="19">
        <f>IF(opm=3,0,IF(opm=2,'Vypocty S'!K28,'Vypocty S'!K27+'Vypocty S'!K28))</f>
        <v>0</v>
      </c>
      <c r="L31" s="19">
        <f>IF(opm=3,0,IF(opm=2,'Vypocty S'!L28,'Vypocty S'!L27+'Vypocty S'!L28))</f>
        <v>0</v>
      </c>
      <c r="M31" s="19">
        <f>IF(opm=3,0,IF(opm=2,'Vypocty S'!M28,'Vypocty S'!M27+'Vypocty S'!M28))</f>
        <v>0</v>
      </c>
      <c r="N31" s="19">
        <f>IF(opm=3,0,IF(opm=2,'Vypocty S'!N28,'Vypocty S'!N27+'Vypocty S'!N28))</f>
        <v>0</v>
      </c>
      <c r="O31" s="19">
        <f>IF(opm=3,0,IF(opm=2,'Vypocty S'!O28,'Vypocty S'!O27+'Vypocty S'!O28))</f>
        <v>0</v>
      </c>
      <c r="P31" s="19">
        <f>IF(opm=3,0,IF(opm=2,'Vypocty S'!P28,'Vypocty S'!P27+'Vypocty S'!P28))</f>
        <v>0</v>
      </c>
    </row>
    <row r="32" spans="2:16" ht="13.5">
      <c r="B32" s="18"/>
      <c r="C32" s="45" t="str">
        <f>IF(CZ_EN=1,VLOOKUP("Zisk před zdaněním, z toho",Slovnik,1,0),VLOOKUP("Zisk před zdaněním, z toho",Slovnik,2,0))</f>
        <v>Zisk před zdaněním, z toho</v>
      </c>
      <c r="D32" s="58" t="str">
        <f>'Vstupy S'!$D$6</f>
        <v>tis. Kč</v>
      </c>
      <c r="E32" s="212">
        <f>E33+E34+E36+E37+E38</f>
        <v>0</v>
      </c>
      <c r="F32" s="311">
        <f aca="true" t="shared" si="5" ref="F32:P32">F33+F34+F36+F37+F38</f>
        <v>0</v>
      </c>
      <c r="G32" s="47">
        <f t="shared" si="5"/>
        <v>97.31959564541191</v>
      </c>
      <c r="H32" s="47">
        <f t="shared" si="5"/>
        <v>125.87132192846002</v>
      </c>
      <c r="I32" s="47">
        <f t="shared" si="5"/>
        <v>131.2577293934679</v>
      </c>
      <c r="J32" s="47">
        <f t="shared" si="5"/>
        <v>136.15446345256595</v>
      </c>
      <c r="K32" s="47">
        <f t="shared" si="5"/>
        <v>138.6028304821154</v>
      </c>
      <c r="L32" s="47">
        <f t="shared" si="5"/>
        <v>138.6028304821154</v>
      </c>
      <c r="M32" s="47">
        <f t="shared" si="5"/>
        <v>138.6028304821154</v>
      </c>
      <c r="N32" s="47">
        <f t="shared" si="5"/>
        <v>138.6028304821154</v>
      </c>
      <c r="O32" s="47">
        <f t="shared" si="5"/>
        <v>138.6028304821154</v>
      </c>
      <c r="P32" s="47">
        <f t="shared" si="5"/>
        <v>138.6028304821154</v>
      </c>
    </row>
    <row r="33" spans="2:16" ht="13.5">
      <c r="B33" s="18" t="s">
        <v>55</v>
      </c>
      <c r="C33" s="358" t="str">
        <f>IF(CZ_EN=1,VLOOKUP("Úprava odpisů o inflaci",Slovnik,1,0),VLOOKUP("Úprava odpisů o inflaci",Slovnik,2,0))</f>
        <v>Úprava odpisů o inflaci</v>
      </c>
      <c r="D33" s="359" t="str">
        <f>'Vstupy S'!$D$6</f>
        <v>tis. Kč</v>
      </c>
      <c r="E33" s="360">
        <f>'Vypocty S'!E30</f>
        <v>0</v>
      </c>
      <c r="F33" s="361">
        <f>'Vypocty S'!F30</f>
        <v>0</v>
      </c>
      <c r="G33" s="362">
        <f>'Vypocty S'!G30</f>
        <v>0</v>
      </c>
      <c r="H33" s="362">
        <f>'Vypocty S'!H30</f>
        <v>0</v>
      </c>
      <c r="I33" s="362">
        <f>'Vypocty S'!I30</f>
        <v>0</v>
      </c>
      <c r="J33" s="362">
        <f>'Vypocty S'!J30</f>
        <v>0</v>
      </c>
      <c r="K33" s="362">
        <f>'Vypocty S'!K30</f>
        <v>0</v>
      </c>
      <c r="L33" s="362">
        <f>'Vypocty S'!L30</f>
        <v>0</v>
      </c>
      <c r="M33" s="362">
        <f>'Vypocty S'!M30</f>
        <v>0</v>
      </c>
      <c r="N33" s="362">
        <f>'Vypocty S'!N30</f>
        <v>0</v>
      </c>
      <c r="O33" s="362">
        <f>'Vypocty S'!O30</f>
        <v>0</v>
      </c>
      <c r="P33" s="362">
        <f>'Vypocty S'!P30</f>
        <v>0</v>
      </c>
    </row>
    <row r="34" spans="2:16" ht="13.5">
      <c r="B34" s="23" t="str">
        <f>B35</f>
        <v>4.</v>
      </c>
      <c r="C34" s="363" t="str">
        <f>IF(CZ_EN=1,VLOOKUP("Výnos z ReHoK bez Očekávání",Slovnik,1,0),VLOOKUP("Výnos z ReHoK bez Očekávání",Slovnik,2,0))</f>
        <v>Výnos z ReHoK bez Očekávání</v>
      </c>
      <c r="D34" s="128" t="str">
        <f>'Vstupy S'!$D$6</f>
        <v>tis. Kč</v>
      </c>
      <c r="E34" s="360">
        <f>IF('Vypocty S'!$D$21=1,'Vypocty S'!E54-'Vypocty S'!E55+'Vystupy S'!E35,'Vypocty S'!E54+'Vystupy S'!E35)</f>
        <v>0</v>
      </c>
      <c r="F34" s="361">
        <f>IF('Vypocty S'!$D$21=1,'Vypocty S'!F54-'Vypocty S'!F55+'Vystupy S'!F35,'Vypocty S'!F54+'Vystupy S'!F35)</f>
        <v>0</v>
      </c>
      <c r="G34" s="362">
        <f>IF('Vypocty S'!$D$21=1,'Vypocty S'!G54-'Vypocty S'!G55+'Vystupy S'!G35,'Vypocty S'!G54+'Vystupy S'!G35)</f>
        <v>76.56058480155077</v>
      </c>
      <c r="H34" s="362">
        <f>IF('Vypocty S'!$D$21=1,'Vypocty S'!H54-'Vypocty S'!H55+'Vystupy S'!H35,'Vypocty S'!H54+'Vystupy S'!H35)</f>
        <v>98.85887487164166</v>
      </c>
      <c r="I34" s="362">
        <f>IF('Vypocty S'!$D$21=1,'Vypocty S'!I54-'Vypocty S'!I55+'Vystupy S'!I35,'Vypocty S'!I54+'Vystupy S'!I35)</f>
        <v>103.06554437035285</v>
      </c>
      <c r="J34" s="362">
        <f>IF('Vypocty S'!$D$21=1,'Vypocty S'!J54-'Vypocty S'!J55+'Vystupy S'!J35,'Vypocty S'!J54+'Vystupy S'!J35)</f>
        <v>106.88978936918114</v>
      </c>
      <c r="K34" s="362">
        <f>IF('Vypocty S'!$D$21=1,'Vypocty S'!K54-'Vypocty S'!K55+'Vystupy S'!K35,'Vypocty S'!K54+'Vystupy S'!K35)</f>
        <v>108.80191186859565</v>
      </c>
      <c r="L34" s="362">
        <f>IF('Vypocty S'!$D$21=1,'Vypocty S'!L54-'Vypocty S'!L55+'Vystupy S'!L35,'Vypocty S'!L54+'Vystupy S'!L35)</f>
        <v>108.80191186859565</v>
      </c>
      <c r="M34" s="362">
        <f>IF('Vypocty S'!$D$21=1,'Vypocty S'!M54-'Vypocty S'!M55+'Vystupy S'!M35,'Vypocty S'!M54+'Vystupy S'!M35)</f>
        <v>108.80191186859565</v>
      </c>
      <c r="N34" s="362">
        <f>IF('Vypocty S'!$D$21=1,'Vypocty S'!N54-'Vypocty S'!N55+'Vystupy S'!N35,'Vypocty S'!N54+'Vystupy S'!N35)</f>
        <v>108.80191186859565</v>
      </c>
      <c r="O34" s="362">
        <f>IF('Vypocty S'!$D$21=1,'Vypocty S'!O54-'Vypocty S'!O55+'Vystupy S'!O35,'Vypocty S'!O54+'Vystupy S'!O35)</f>
        <v>108.80191186859565</v>
      </c>
      <c r="P34" s="362">
        <f>IF('Vypocty S'!$D$21=1,'Vypocty S'!P54-'Vypocty S'!P55+'Vystupy S'!P35,'Vypocty S'!P54+'Vystupy S'!P35)</f>
        <v>108.80191186859565</v>
      </c>
    </row>
    <row r="35" spans="2:16" ht="13.5" hidden="1">
      <c r="B35" s="18" t="s">
        <v>48</v>
      </c>
      <c r="C35" s="358" t="str">
        <f>CONCATENATE(IF(CZ_EN=1,VLOOKUP("Výnos z ReHoK bez Očekávání",Slovnik,1,0),VLOOKUP("Výnos z ReHoK bez Očekávání",Slovnik,2,0))," ",IF(CZ_EN=1,VLOOKUP("bez příjmové části",Slovnik,1,0),VLOOKUP("bez příjmové části",Slovnik,2,0)))</f>
        <v>Výnos z ReHoK bez Očekávání bez příjmové části</v>
      </c>
      <c r="D35" s="359" t="str">
        <f>'Vstupy S'!$D$6</f>
        <v>tis. Kč</v>
      </c>
      <c r="E35" s="360">
        <f aca="true" t="shared" si="6" ref="E35:P35">(E25-E23)*waccWW</f>
        <v>0</v>
      </c>
      <c r="F35" s="361">
        <f t="shared" si="6"/>
        <v>0</v>
      </c>
      <c r="G35" s="362">
        <f t="shared" si="6"/>
        <v>-11.938356164383563</v>
      </c>
      <c r="H35" s="362">
        <f t="shared" si="6"/>
        <v>-16.29945205479452</v>
      </c>
      <c r="I35" s="362">
        <f t="shared" si="6"/>
        <v>-17.12219178082192</v>
      </c>
      <c r="J35" s="362">
        <f t="shared" si="6"/>
        <v>-17.87013698630137</v>
      </c>
      <c r="K35" s="362">
        <f t="shared" si="6"/>
        <v>-18.244109589041095</v>
      </c>
      <c r="L35" s="362">
        <f t="shared" si="6"/>
        <v>-18.244109589041095</v>
      </c>
      <c r="M35" s="362">
        <f t="shared" si="6"/>
        <v>-18.244109589041095</v>
      </c>
      <c r="N35" s="362">
        <f t="shared" si="6"/>
        <v>-18.244109589041095</v>
      </c>
      <c r="O35" s="362">
        <f t="shared" si="6"/>
        <v>-18.244109589041095</v>
      </c>
      <c r="P35" s="362">
        <f t="shared" si="6"/>
        <v>-18.244109589041095</v>
      </c>
    </row>
    <row r="36" spans="2:16" ht="13.5">
      <c r="B36" s="23" t="s">
        <v>172</v>
      </c>
      <c r="C36" s="358" t="str">
        <f>IF(CZ_EN=1,VLOOKUP("Návratnost Očekávání",Slovnik,1,0),VLOOKUP("Návratnost Očekávání",Slovnik,2,0))</f>
        <v>Návratnost Očekávání</v>
      </c>
      <c r="D36" s="359" t="str">
        <f>'Vstupy S'!$D$6</f>
        <v>tis. Kč</v>
      </c>
      <c r="E36" s="360"/>
      <c r="F36" s="361">
        <f>IF('Vypocty S'!$D$32=1,'Vypocty S'!F35,'Vypocty S'!F38)</f>
        <v>0</v>
      </c>
      <c r="G36" s="362">
        <f>IF('Vypocty S'!$D$32=1,'Vypocty S'!G35,'Vypocty S'!G38)</f>
        <v>0</v>
      </c>
      <c r="H36" s="362">
        <f>IF('Vypocty S'!$D$32=1,'Vypocty S'!H35,'Vypocty S'!H38)</f>
        <v>0</v>
      </c>
      <c r="I36" s="362">
        <f>IF('Vypocty S'!$D$32=1,'Vypocty S'!I35,'Vypocty S'!I38)</f>
        <v>0</v>
      </c>
      <c r="J36" s="362">
        <f>IF('Vypocty S'!$D$32=1,'Vypocty S'!J35,'Vypocty S'!J38)</f>
        <v>0</v>
      </c>
      <c r="K36" s="362">
        <f>IF('Vypocty S'!$D$32=1,'Vypocty S'!K35,'Vypocty S'!K38)</f>
        <v>0</v>
      </c>
      <c r="L36" s="362">
        <f>IF('Vypocty S'!$D$32=1,'Vypocty S'!L35,'Vypocty S'!L38)</f>
        <v>0</v>
      </c>
      <c r="M36" s="362">
        <f>IF('Vypocty S'!$D$32=1,'Vypocty S'!M35,'Vypocty S'!M38)</f>
        <v>0</v>
      </c>
      <c r="N36" s="362">
        <f>IF('Vypocty S'!$D$32=1,'Vypocty S'!N35,'Vypocty S'!N38)</f>
        <v>0</v>
      </c>
      <c r="O36" s="362">
        <f>IF('Vypocty S'!$D$32=1,'Vypocty S'!O35,'Vypocty S'!O38)</f>
        <v>0</v>
      </c>
      <c r="P36" s="362">
        <f>IF('Vypocty S'!$D$32=1,'Vypocty S'!P35,'Vypocty S'!P38)</f>
        <v>0</v>
      </c>
    </row>
    <row r="37" spans="2:16" ht="13.5">
      <c r="B37" s="23" t="s">
        <v>173</v>
      </c>
      <c r="C37" s="358" t="str">
        <f>IF(CZ_EN=1,VLOOKUP("Výnos z Očekávání",Slovnik,1,0),VLOOKUP("Výnos z Očekávání",Slovnik,2,0))</f>
        <v>Výnos z Očekávání</v>
      </c>
      <c r="D37" s="359" t="str">
        <f>'Vstupy S'!$D$6</f>
        <v>tis. Kč</v>
      </c>
      <c r="E37" s="360"/>
      <c r="F37" s="361">
        <f>IF('Vypocty S'!$D$32=1,'Vypocty S'!F34,'Vypocty S'!F39)</f>
        <v>0</v>
      </c>
      <c r="G37" s="362">
        <f>IF('Vypocty S'!$D$32=1,'Vypocty S'!G34,'Vypocty S'!G39)</f>
        <v>0</v>
      </c>
      <c r="H37" s="362">
        <f>IF('Vypocty S'!$D$32=1,'Vypocty S'!H34,'Vypocty S'!H39)</f>
        <v>0</v>
      </c>
      <c r="I37" s="362">
        <f>IF('Vypocty S'!$D$32=1,'Vypocty S'!I34,'Vypocty S'!I39)</f>
        <v>0</v>
      </c>
      <c r="J37" s="362">
        <f>IF('Vypocty S'!$D$32=1,'Vypocty S'!J34,'Vypocty S'!J39)</f>
        <v>0</v>
      </c>
      <c r="K37" s="362">
        <f>IF('Vypocty S'!$D$32=1,'Vypocty S'!K34,'Vypocty S'!K39)</f>
        <v>0</v>
      </c>
      <c r="L37" s="362">
        <f>IF('Vypocty S'!$D$32=1,'Vypocty S'!L34,'Vypocty S'!L39)</f>
        <v>0</v>
      </c>
      <c r="M37" s="362">
        <f>IF('Vypocty S'!$D$32=1,'Vypocty S'!M34,'Vypocty S'!M39)</f>
        <v>0</v>
      </c>
      <c r="N37" s="362">
        <f>IF('Vypocty S'!$D$32=1,'Vypocty S'!N34,'Vypocty S'!N39)</f>
        <v>0</v>
      </c>
      <c r="O37" s="362">
        <f>IF('Vypocty S'!$D$32=1,'Vypocty S'!O34,'Vypocty S'!O39)</f>
        <v>0</v>
      </c>
      <c r="P37" s="362">
        <f>IF('Vypocty S'!$D$32=1,'Vypocty S'!P34,'Vypocty S'!P39)</f>
        <v>0</v>
      </c>
    </row>
    <row r="38" spans="2:16" ht="13.5">
      <c r="B38" s="23" t="str">
        <f>B39</f>
        <v>6.</v>
      </c>
      <c r="C38" s="363" t="str">
        <f>IF(CZ_EN=1,VLOOKUP("Daň z příjmu právnických osob",Slovnik,1,0),VLOOKUP("Daň z příjmu právnických osob",Slovnik,2,0))</f>
        <v>Daň z příjmu právnických osob</v>
      </c>
      <c r="D38" s="128" t="str">
        <f>'Vstupy S'!$D$6</f>
        <v>tis. Kč</v>
      </c>
      <c r="E38" s="360">
        <f>IF('Vypocty S'!$D$21=1,'Vstupy S'!E105,'Vstupy S'!E106)</f>
        <v>0</v>
      </c>
      <c r="F38" s="361">
        <f>IF('Vypocty S'!$D$21=1,'Vstupy S'!F105,'Vstupy S'!F106)</f>
        <v>0</v>
      </c>
      <c r="G38" s="362">
        <f>IF('Vypocty S'!$D$21=1,'Vstupy S'!G105,'Vstupy S'!G106)</f>
        <v>20.75901084386114</v>
      </c>
      <c r="H38" s="362">
        <f>IF('Vypocty S'!$D$21=1,'Vstupy S'!H105,'Vstupy S'!H106)</f>
        <v>27.012447056818363</v>
      </c>
      <c r="I38" s="362">
        <f>IF('Vypocty S'!$D$21=1,'Vstupy S'!I105,'Vstupy S'!I106)</f>
        <v>28.192185023115073</v>
      </c>
      <c r="J38" s="362">
        <f>IF('Vypocty S'!$D$21=1,'Vstupy S'!J105,'Vstupy S'!J106)</f>
        <v>29.26467408338479</v>
      </c>
      <c r="K38" s="362">
        <f>IF('Vypocty S'!$D$21=1,'Vstupy S'!K105,'Vstupy S'!K106)</f>
        <v>29.800918613519734</v>
      </c>
      <c r="L38" s="362">
        <f>IF('Vypocty S'!$D$21=1,'Vstupy S'!L105,'Vstupy S'!L106)</f>
        <v>29.800918613519734</v>
      </c>
      <c r="M38" s="362">
        <f>IF('Vypocty S'!$D$21=1,'Vstupy S'!M105,'Vstupy S'!M106)</f>
        <v>29.800918613519734</v>
      </c>
      <c r="N38" s="362">
        <f>IF('Vypocty S'!$D$21=1,'Vstupy S'!N105,'Vstupy S'!N106)</f>
        <v>29.800918613519734</v>
      </c>
      <c r="O38" s="362">
        <f>IF('Vypocty S'!$D$21=1,'Vstupy S'!O105,'Vstupy S'!O106)</f>
        <v>29.800918613519734</v>
      </c>
      <c r="P38" s="362">
        <f>IF('Vypocty S'!$D$21=1,'Vstupy S'!P105,'Vstupy S'!P106)</f>
        <v>29.800918613519734</v>
      </c>
    </row>
    <row r="39" spans="2:16" ht="13.5" hidden="1">
      <c r="B39" s="18" t="s">
        <v>87</v>
      </c>
      <c r="C39" s="45" t="str">
        <f>CONCATENATE(IF(CZ_EN=1,VLOOKUP("Daň z příjmu právnických osob",Slovnik,1,0),VLOOKUP("Daň z příjmu právnických osob",Slovnik,2,0))," ",IF(CZ_EN=1,VLOOKUP("bez příjmové části",Slovnik,1,0),VLOOKUP("bez příjmové části",Slovnik,2,0))," ",IF(CZ_EN=1,VLOOKUP("PK",Slovnik,1,0),VLOOKUP("PK",Slovnik,2,0)))</f>
        <v>Daň z příjmu právnických osob bez příjmové části PK</v>
      </c>
      <c r="D39" s="58" t="str">
        <f>'Vstupy S'!$D$6</f>
        <v>tis. Kč</v>
      </c>
      <c r="E39" s="212">
        <f>IF('Vypocty S'!$D$21=1,'Vypocty S'!E51,'Vstupy S'!E106)</f>
        <v>0</v>
      </c>
      <c r="F39" s="311">
        <f>IF('Vypocty S'!$D$21=1,'Vypocty S'!F51,'Vstupy S'!F106)</f>
        <v>0</v>
      </c>
      <c r="G39" s="47">
        <f>IF('Vypocty S'!$D$21=1,'Vypocty S'!G51,'Vstupy S'!G106)</f>
        <v>0</v>
      </c>
      <c r="H39" s="47">
        <f>IF('Vypocty S'!$D$21=1,'Vypocty S'!H51,'Vstupy S'!H106)</f>
        <v>0</v>
      </c>
      <c r="I39" s="47">
        <f>IF('Vypocty S'!$D$21=1,'Vypocty S'!I51,'Vstupy S'!I106)</f>
        <v>0</v>
      </c>
      <c r="J39" s="47">
        <f>IF('Vypocty S'!$D$21=1,'Vypocty S'!J51,'Vstupy S'!J106)</f>
        <v>0</v>
      </c>
      <c r="K39" s="47">
        <f>IF('Vypocty S'!$D$21=1,'Vypocty S'!K51,'Vstupy S'!K106)</f>
        <v>0</v>
      </c>
      <c r="L39" s="47">
        <f>IF('Vypocty S'!$D$21=1,'Vypocty S'!L51,'Vstupy S'!L106)</f>
        <v>0</v>
      </c>
      <c r="M39" s="47">
        <f>IF('Vypocty S'!$D$21=1,'Vypocty S'!M51,'Vstupy S'!M106)</f>
        <v>0</v>
      </c>
      <c r="N39" s="47">
        <f>IF('Vypocty S'!$D$21=1,'Vypocty S'!N51,'Vstupy S'!N106)</f>
        <v>0</v>
      </c>
      <c r="O39" s="47">
        <f>IF('Vypocty S'!$D$21=1,'Vypocty S'!O51,'Vstupy S'!O106)</f>
        <v>0</v>
      </c>
      <c r="P39" s="47">
        <f>IF('Vypocty S'!$D$21=1,'Vypocty S'!P51,'Vstupy S'!P106)</f>
        <v>0</v>
      </c>
    </row>
    <row r="40" spans="2:16" ht="13.5" hidden="1">
      <c r="B40" s="18"/>
      <c r="C40" s="59" t="str">
        <f>CONCATENATE(IF(CZ_EN=1,VLOOKUP("Celkový Požadovaný příjem",Slovnik,1,0),VLOOKUP("Celkový Požadovaný příjem",Slovnik,2,0))," ",IF(CZ_EN=1,VLOOKUP("bez příjmové části",Slovnik,1,0),VLOOKUP("bez příjmové části",Slovnik,2,0))," ",IF(CZ_EN=1,VLOOKUP("PK",Slovnik,1,0),VLOOKUP("PK",Slovnik,2,0)))</f>
        <v>Celkový Požadovaný příjem bez příjmové části PK</v>
      </c>
      <c r="D40" s="60" t="str">
        <f>'Vstupy S'!$D$6</f>
        <v>tis. Kč</v>
      </c>
      <c r="E40" s="216">
        <f>E29+E30+E31+E33+E35+E36+E37+E39</f>
        <v>0</v>
      </c>
      <c r="F40" s="313">
        <f aca="true" t="shared" si="7" ref="F40:P40">F29+F30+F31+F33+F35+F36+F37+F39</f>
        <v>0</v>
      </c>
      <c r="G40" s="20">
        <f t="shared" si="7"/>
        <v>5018.061643835616</v>
      </c>
      <c r="H40" s="20">
        <f t="shared" si="7"/>
        <v>6529.7005479452055</v>
      </c>
      <c r="I40" s="20">
        <f t="shared" si="7"/>
        <v>6814.877808219178</v>
      </c>
      <c r="J40" s="20">
        <f t="shared" si="7"/>
        <v>7074.129863013699</v>
      </c>
      <c r="K40" s="20">
        <f t="shared" si="7"/>
        <v>7203.755890410959</v>
      </c>
      <c r="L40" s="20">
        <f t="shared" si="7"/>
        <v>7203.755890410959</v>
      </c>
      <c r="M40" s="20">
        <f t="shared" si="7"/>
        <v>7203.755890410959</v>
      </c>
      <c r="N40" s="20">
        <f t="shared" si="7"/>
        <v>7203.755890410959</v>
      </c>
      <c r="O40" s="20">
        <f t="shared" si="7"/>
        <v>7203.755890410959</v>
      </c>
      <c r="P40" s="20">
        <f t="shared" si="7"/>
        <v>7203.755890410959</v>
      </c>
    </row>
    <row r="41" spans="2:16" ht="13.5">
      <c r="B41" s="18"/>
      <c r="C41" s="59" t="str">
        <f>IF(CZ_EN=1,VLOOKUP("Celkový Požadovaný příjem",Slovnik,1,0),VLOOKUP("Celkový Požadovaný příjem",Slovnik,2,0))</f>
        <v>Celkový Požadovaný příjem</v>
      </c>
      <c r="D41" s="60" t="str">
        <f>'Vstupy S'!$D$6</f>
        <v>tis. Kč</v>
      </c>
      <c r="E41" s="216">
        <f>'Vypocty S'!E21</f>
        <v>0</v>
      </c>
      <c r="F41" s="313">
        <f>'Vypocty S'!F21</f>
        <v>0</v>
      </c>
      <c r="G41" s="20">
        <f>'Vypocty S'!G21</f>
        <v>5127.319595645412</v>
      </c>
      <c r="H41" s="20">
        <f>'Vypocty S'!H21</f>
        <v>6671.87132192846</v>
      </c>
      <c r="I41" s="20">
        <f>'Vypocty S'!I21</f>
        <v>6963.257729393468</v>
      </c>
      <c r="J41" s="20">
        <f>'Vypocty S'!J21</f>
        <v>7228.154463452566</v>
      </c>
      <c r="K41" s="20">
        <f>'Vypocty S'!K21</f>
        <v>7360.602830482116</v>
      </c>
      <c r="L41" s="20">
        <f>'Vypocty S'!L21</f>
        <v>7360.602830482116</v>
      </c>
      <c r="M41" s="20">
        <f>'Vypocty S'!M21</f>
        <v>7360.602830482116</v>
      </c>
      <c r="N41" s="20">
        <f>'Vypocty S'!N21</f>
        <v>7360.602830482116</v>
      </c>
      <c r="O41" s="20">
        <f>'Vypocty S'!O21</f>
        <v>7360.602830482116</v>
      </c>
      <c r="P41" s="20">
        <f>'Vypocty S'!P21</f>
        <v>7360.602830482116</v>
      </c>
    </row>
    <row r="42" spans="2:16" ht="13.5">
      <c r="B42" s="18"/>
      <c r="C42" s="179"/>
      <c r="D42" s="179"/>
      <c r="E42" s="179"/>
      <c r="F42" s="314"/>
      <c r="G42" s="179"/>
      <c r="H42" s="179"/>
      <c r="I42" s="179"/>
      <c r="J42" s="179"/>
      <c r="K42" s="179"/>
      <c r="L42" s="179"/>
      <c r="M42" s="179"/>
      <c r="N42" s="179"/>
      <c r="O42" s="179"/>
      <c r="P42" s="179"/>
    </row>
    <row r="43" spans="2:16" ht="13.5">
      <c r="B43" s="18"/>
      <c r="C43" s="15" t="str">
        <f>IF(CZ_EN=1,VLOOKUP("Přiměřený zisk jako % ÚVN",Slovnik,1,0),VLOOKUP("Přiměřený zisk jako % ÚVN",Slovnik,2,0))</f>
        <v>Přiměřený zisk jako % ÚVN</v>
      </c>
      <c r="D43" s="60" t="s">
        <v>67</v>
      </c>
      <c r="E43" s="364">
        <f>IF(E29+E30+E31=0,0,E32/(E29+E30+E31))</f>
        <v>0</v>
      </c>
      <c r="F43" s="365">
        <f>IF(F29+F30+F31=0,0,F32/(F29+F30+F31))</f>
        <v>0</v>
      </c>
      <c r="G43" s="366">
        <f aca="true" t="shared" si="8" ref="G43:P43">IF(G29+G30+G31=0,0,G32/(G29+G30+G31))</f>
        <v>0.019347832136264793</v>
      </c>
      <c r="H43" s="366">
        <f t="shared" si="8"/>
        <v>0.019228738455310115</v>
      </c>
      <c r="I43" s="366">
        <f t="shared" si="8"/>
        <v>0.019212196925273407</v>
      </c>
      <c r="J43" s="366">
        <f t="shared" si="8"/>
        <v>0.01919831689968499</v>
      </c>
      <c r="K43" s="366">
        <f t="shared" si="8"/>
        <v>0.01919175165911318</v>
      </c>
      <c r="L43" s="366">
        <f t="shared" si="8"/>
        <v>0.01919175165911318</v>
      </c>
      <c r="M43" s="366">
        <f t="shared" si="8"/>
        <v>0.01919175165911318</v>
      </c>
      <c r="N43" s="366">
        <f t="shared" si="8"/>
        <v>0.01919175165911318</v>
      </c>
      <c r="O43" s="366">
        <f t="shared" si="8"/>
        <v>0.01919175165911318</v>
      </c>
      <c r="P43" s="366">
        <f t="shared" si="8"/>
        <v>0.01919175165911318</v>
      </c>
    </row>
    <row r="44" spans="2:16" ht="13.5">
      <c r="B44" s="18"/>
      <c r="C44" s="179"/>
      <c r="D44" s="179"/>
      <c r="E44" s="179"/>
      <c r="F44" s="314"/>
      <c r="G44" s="179"/>
      <c r="H44" s="179"/>
      <c r="I44" s="179"/>
      <c r="J44" s="179"/>
      <c r="K44" s="179"/>
      <c r="L44" s="179"/>
      <c r="M44" s="179"/>
      <c r="N44" s="179"/>
      <c r="O44" s="179"/>
      <c r="P44" s="179"/>
    </row>
    <row r="45" spans="2:16" ht="13.5">
      <c r="B45" s="18"/>
      <c r="C45" s="234" t="str">
        <f>IF(CZ_EN=1,VLOOKUP("Možnost vzdát se zisku",Slovnik,1,0),VLOOKUP("Možnost vzdát se zisku",Slovnik,2,0))</f>
        <v>Možnost vzdát se zisku</v>
      </c>
      <c r="D45" s="179"/>
      <c r="E45" s="179"/>
      <c r="F45" s="314"/>
      <c r="G45" s="179"/>
      <c r="H45" s="179"/>
      <c r="I45" s="179"/>
      <c r="J45" s="179"/>
      <c r="K45" s="179"/>
      <c r="L45" s="179"/>
      <c r="M45" s="179"/>
      <c r="N45" s="179"/>
      <c r="O45" s="179"/>
      <c r="P45" s="179"/>
    </row>
    <row r="46" spans="2:16" ht="13.5" hidden="1">
      <c r="B46" s="18"/>
      <c r="C46" s="41" t="str">
        <f>IF(CZ_EN=1,VLOOKUP("Horní hranice odpočtu",Slovnik,1,0),VLOOKUP("Horní hranice odpočtu",Slovnik,2,0))</f>
        <v>Horní hranice odpočtu</v>
      </c>
      <c r="D46" s="41" t="str">
        <f>'Vstupy S'!$D$6</f>
        <v>tis. Kč</v>
      </c>
      <c r="E46" s="235"/>
      <c r="F46" s="309">
        <f>F33+F34+F36+F37+F38</f>
        <v>0</v>
      </c>
      <c r="G46" s="43">
        <f aca="true" t="shared" si="9" ref="G46:P46">G33+G34+G36+G37+G38</f>
        <v>97.31959564541191</v>
      </c>
      <c r="H46" s="43">
        <f t="shared" si="9"/>
        <v>125.87132192846002</v>
      </c>
      <c r="I46" s="43">
        <f t="shared" si="9"/>
        <v>131.2577293934679</v>
      </c>
      <c r="J46" s="43">
        <f t="shared" si="9"/>
        <v>136.15446345256595</v>
      </c>
      <c r="K46" s="43">
        <f t="shared" si="9"/>
        <v>138.6028304821154</v>
      </c>
      <c r="L46" s="43">
        <f t="shared" si="9"/>
        <v>138.6028304821154</v>
      </c>
      <c r="M46" s="43">
        <f t="shared" si="9"/>
        <v>138.6028304821154</v>
      </c>
      <c r="N46" s="43">
        <f t="shared" si="9"/>
        <v>138.6028304821154</v>
      </c>
      <c r="O46" s="43">
        <f t="shared" si="9"/>
        <v>138.6028304821154</v>
      </c>
      <c r="P46" s="43">
        <f t="shared" si="9"/>
        <v>138.6028304821154</v>
      </c>
    </row>
    <row r="47" spans="2:16" ht="13.5">
      <c r="B47" s="18"/>
      <c r="C47" s="41" t="str">
        <f>IF(CZ_EN=1,VLOOKUP("Vzdát se zisku ve výši:",Slovnik,1,0),VLOOKUP("Vzdát se zisku ve výši:",Slovnik,2,0))</f>
        <v>Vzdát se zisku ve výši:</v>
      </c>
      <c r="D47" s="41" t="str">
        <f>'Vstupy S'!$D$6</f>
        <v>tis. Kč</v>
      </c>
      <c r="E47" s="235"/>
      <c r="F47" s="309">
        <f>'Vstupy S'!F110</f>
        <v>0</v>
      </c>
      <c r="G47" s="43">
        <f>'Vstupy S'!G110</f>
        <v>0</v>
      </c>
      <c r="H47" s="43">
        <f>'Vstupy S'!H110</f>
        <v>0</v>
      </c>
      <c r="I47" s="43">
        <f>'Vstupy S'!I110</f>
        <v>0</v>
      </c>
      <c r="J47" s="43">
        <f>'Vstupy S'!J110</f>
        <v>0</v>
      </c>
      <c r="K47" s="43">
        <f>'Vstupy S'!K110</f>
        <v>0</v>
      </c>
      <c r="L47" s="43">
        <f>'Vstupy S'!L110</f>
        <v>0</v>
      </c>
      <c r="M47" s="43">
        <f>'Vstupy S'!M110</f>
        <v>0</v>
      </c>
      <c r="N47" s="43">
        <f>'Vstupy S'!N110</f>
        <v>0</v>
      </c>
      <c r="O47" s="43">
        <f>'Vstupy S'!O110</f>
        <v>0</v>
      </c>
      <c r="P47" s="43">
        <f>'Vstupy S'!P110</f>
        <v>0</v>
      </c>
    </row>
    <row r="48" spans="2:16" ht="13.5">
      <c r="B48" s="18"/>
      <c r="C48" s="266" t="str">
        <f>CONCATENATE(IF(CZ_EN=1,VLOOKUP("Celkový Požadovaný příjem",Slovnik,1,0),VLOOKUP("Celkový Požadovaný příjem",Slovnik,2,0))," ",IF(CZ_EN=1,VLOOKUP("po vzdání se zisku",Slovnik,1,0),VLOOKUP("po vzdání se zisku",Slovnik,2,0)))</f>
        <v>Celkový Požadovaný příjem po vzdání se zisku</v>
      </c>
      <c r="D48" s="58" t="str">
        <f>'Vstupy S'!$D$6</f>
        <v>tis. Kč</v>
      </c>
      <c r="E48" s="386"/>
      <c r="F48" s="311">
        <f aca="true" t="shared" si="10" ref="F48:P48">F41-F47</f>
        <v>0</v>
      </c>
      <c r="G48" s="47">
        <f t="shared" si="10"/>
        <v>5127.319595645412</v>
      </c>
      <c r="H48" s="47">
        <f t="shared" si="10"/>
        <v>6671.87132192846</v>
      </c>
      <c r="I48" s="47">
        <f t="shared" si="10"/>
        <v>6963.257729393468</v>
      </c>
      <c r="J48" s="47">
        <f t="shared" si="10"/>
        <v>7228.154463452566</v>
      </c>
      <c r="K48" s="47">
        <f t="shared" si="10"/>
        <v>7360.602830482116</v>
      </c>
      <c r="L48" s="47">
        <f t="shared" si="10"/>
        <v>7360.602830482116</v>
      </c>
      <c r="M48" s="47">
        <f t="shared" si="10"/>
        <v>7360.602830482116</v>
      </c>
      <c r="N48" s="47">
        <f t="shared" si="10"/>
        <v>7360.602830482116</v>
      </c>
      <c r="O48" s="47">
        <f t="shared" si="10"/>
        <v>7360.602830482116</v>
      </c>
      <c r="P48" s="47">
        <f t="shared" si="10"/>
        <v>7360.602830482116</v>
      </c>
    </row>
    <row r="49" spans="2:6" ht="13.5">
      <c r="B49" s="18"/>
      <c r="C49" s="18"/>
      <c r="F49" s="307"/>
    </row>
    <row r="50" spans="2:16" ht="13.5">
      <c r="B50" s="18"/>
      <c r="C50" s="15" t="str">
        <f>IF(CZ_EN=1,VLOOKUP("Dobrovolně snížený zisk jako % ÚVN",Slovnik,1,0),VLOOKUP("Dobrovolně snížený zisk jako % ÚVN",Slovnik,2,0))</f>
        <v>Dobrovolně snížený zisk jako % ÚVN</v>
      </c>
      <c r="D50" s="60" t="s">
        <v>67</v>
      </c>
      <c r="E50" s="364">
        <f aca="true" t="shared" si="11" ref="E50:P50">IF(E29+E30+E31=0,0,(E32-E47)/(E29+E30+E31))</f>
        <v>0</v>
      </c>
      <c r="F50" s="365">
        <f t="shared" si="11"/>
        <v>0</v>
      </c>
      <c r="G50" s="366">
        <f t="shared" si="11"/>
        <v>0.019347832136264793</v>
      </c>
      <c r="H50" s="366">
        <f t="shared" si="11"/>
        <v>0.019228738455310115</v>
      </c>
      <c r="I50" s="366">
        <f t="shared" si="11"/>
        <v>0.019212196925273407</v>
      </c>
      <c r="J50" s="366">
        <f t="shared" si="11"/>
        <v>0.01919831689968499</v>
      </c>
      <c r="K50" s="366">
        <f t="shared" si="11"/>
        <v>0.01919175165911318</v>
      </c>
      <c r="L50" s="366">
        <f t="shared" si="11"/>
        <v>0.01919175165911318</v>
      </c>
      <c r="M50" s="366">
        <f t="shared" si="11"/>
        <v>0.01919175165911318</v>
      </c>
      <c r="N50" s="366">
        <f t="shared" si="11"/>
        <v>0.01919175165911318</v>
      </c>
      <c r="O50" s="366">
        <f t="shared" si="11"/>
        <v>0.01919175165911318</v>
      </c>
      <c r="P50" s="366">
        <f t="shared" si="11"/>
        <v>0.01919175165911318</v>
      </c>
    </row>
    <row r="51" spans="2:6" ht="13.5">
      <c r="B51" s="18"/>
      <c r="C51" s="18"/>
      <c r="F51" s="307"/>
    </row>
    <row r="52" spans="2:16" ht="13.5">
      <c r="B52" s="18"/>
      <c r="C52" s="41" t="str">
        <f>'Vstupy S'!C28</f>
        <v>Voda odpadní odváděná fakturovatelná (včetně dešťové)</v>
      </c>
      <c r="D52" s="41" t="str">
        <f>'Vstupy S'!D28</f>
        <v>tis. m3/rok</v>
      </c>
      <c r="E52" s="218">
        <f>'Vstupy S'!E28</f>
        <v>0</v>
      </c>
      <c r="F52" s="309">
        <f>'Vstupy S'!F28</f>
        <v>0</v>
      </c>
      <c r="G52" s="43">
        <f>'Vstupy S'!G28</f>
        <v>119</v>
      </c>
      <c r="H52" s="43">
        <f>'Vstupy S'!H28</f>
        <v>174</v>
      </c>
      <c r="I52" s="43">
        <f>'Vstupy S'!I28</f>
        <v>185</v>
      </c>
      <c r="J52" s="43">
        <f>'Vstupy S'!J28</f>
        <v>195</v>
      </c>
      <c r="K52" s="43">
        <f>'Vstupy S'!K28</f>
        <v>200</v>
      </c>
      <c r="L52" s="43">
        <f>'Vstupy S'!L28</f>
        <v>200</v>
      </c>
      <c r="M52" s="43">
        <f>'Vstupy S'!M28</f>
        <v>200</v>
      </c>
      <c r="N52" s="43">
        <f>'Vstupy S'!N28</f>
        <v>200</v>
      </c>
      <c r="O52" s="43">
        <f>'Vstupy S'!O28</f>
        <v>200</v>
      </c>
      <c r="P52" s="43">
        <f>'Vstupy S'!P28</f>
        <v>200</v>
      </c>
    </row>
    <row r="53" spans="2:16" ht="13.5">
      <c r="B53" s="18"/>
      <c r="C53" s="44" t="str">
        <f>'Spolecne vstupy'!B21</f>
        <v>Úspěšnost výběru pohledávek</v>
      </c>
      <c r="D53" s="57" t="s">
        <v>67</v>
      </c>
      <c r="E53" s="387">
        <f>'Spolecne vstupy'!E21</f>
        <v>0.998</v>
      </c>
      <c r="F53" s="388">
        <f>'Spolecne vstupy'!F21</f>
        <v>0.998</v>
      </c>
      <c r="G53" s="389">
        <f>'Spolecne vstupy'!G21</f>
        <v>0.998</v>
      </c>
      <c r="H53" s="389">
        <f>'Spolecne vstupy'!H21</f>
        <v>0.998</v>
      </c>
      <c r="I53" s="389">
        <f>'Spolecne vstupy'!I21</f>
        <v>0.998</v>
      </c>
      <c r="J53" s="389">
        <f>'Spolecne vstupy'!J21</f>
        <v>0.998</v>
      </c>
      <c r="K53" s="389">
        <f>'Spolecne vstupy'!K21</f>
        <v>0.998</v>
      </c>
      <c r="L53" s="389">
        <f>'Spolecne vstupy'!L21</f>
        <v>0.998</v>
      </c>
      <c r="M53" s="389">
        <f>'Spolecne vstupy'!M21</f>
        <v>0.998</v>
      </c>
      <c r="N53" s="389">
        <f>'Spolecne vstupy'!N21</f>
        <v>0.998</v>
      </c>
      <c r="O53" s="389">
        <f>'Spolecne vstupy'!O21</f>
        <v>0.998</v>
      </c>
      <c r="P53" s="389">
        <f>'Spolecne vstupy'!P21</f>
        <v>0.998</v>
      </c>
    </row>
    <row r="54" spans="2:16" ht="13.5">
      <c r="B54" s="18"/>
      <c r="C54" s="45" t="str">
        <f>'Vystupy V'!C54</f>
        <v>Skutečně uhrazená produkce</v>
      </c>
      <c r="D54" s="45" t="str">
        <f>D52</f>
        <v>tis. m3/rok</v>
      </c>
      <c r="E54" s="212">
        <f>E52*E53</f>
        <v>0</v>
      </c>
      <c r="F54" s="311">
        <f aca="true" t="shared" si="12" ref="F54:P54">F52*F53</f>
        <v>0</v>
      </c>
      <c r="G54" s="47">
        <f t="shared" si="12"/>
        <v>118.762</v>
      </c>
      <c r="H54" s="47">
        <f t="shared" si="12"/>
        <v>173.652</v>
      </c>
      <c r="I54" s="47">
        <f t="shared" si="12"/>
        <v>184.63</v>
      </c>
      <c r="J54" s="47">
        <f t="shared" si="12"/>
        <v>194.61</v>
      </c>
      <c r="K54" s="47">
        <f t="shared" si="12"/>
        <v>199.6</v>
      </c>
      <c r="L54" s="47">
        <f t="shared" si="12"/>
        <v>199.6</v>
      </c>
      <c r="M54" s="47">
        <f t="shared" si="12"/>
        <v>199.6</v>
      </c>
      <c r="N54" s="47">
        <f t="shared" si="12"/>
        <v>199.6</v>
      </c>
      <c r="O54" s="47">
        <f t="shared" si="12"/>
        <v>199.6</v>
      </c>
      <c r="P54" s="47">
        <f t="shared" si="12"/>
        <v>199.6</v>
      </c>
    </row>
    <row r="55" spans="2:6" ht="13.5">
      <c r="B55" s="18"/>
      <c r="C55" s="18"/>
      <c r="F55" s="307"/>
    </row>
    <row r="56" spans="2:16" ht="13.5">
      <c r="B56" s="18"/>
      <c r="C56" s="59" t="str">
        <f>IF(CZ_EN=1,VLOOKUP("Průměrná reálná cena založená na Požadovaném příjmu",Slovnik,1,0),VLOOKUP("Průměrná reálná cena založená na Požadovaném příjmu",Slovnik,2,0))</f>
        <v>Průměrná reálná cena založená na Požadovaném příjmu</v>
      </c>
      <c r="D56" s="61" t="str">
        <f>IF(CZ_EN=1,VLOOKUP("Kč/m3",Slovnik,1,0),VLOOKUP("Kč/m3",Slovnik,2,0))</f>
        <v>Kč/m3</v>
      </c>
      <c r="E56" s="383">
        <f>IF(E54=0,0,E41/E54)</f>
        <v>0</v>
      </c>
      <c r="F56" s="384">
        <f>IF(F54=0,0,F48/F54)</f>
        <v>0</v>
      </c>
      <c r="G56" s="385">
        <f aca="true" t="shared" si="13" ref="G56:P56">IF(G54=0,0,G48/G54)</f>
        <v>43.17306542198188</v>
      </c>
      <c r="H56" s="385">
        <f t="shared" si="13"/>
        <v>38.420929916893904</v>
      </c>
      <c r="I56" s="385">
        <f t="shared" si="13"/>
        <v>37.71466029027497</v>
      </c>
      <c r="J56" s="385">
        <f t="shared" si="13"/>
        <v>37.141742271479195</v>
      </c>
      <c r="K56" s="385">
        <f t="shared" si="13"/>
        <v>36.87676768778615</v>
      </c>
      <c r="L56" s="385">
        <f t="shared" si="13"/>
        <v>36.87676768778615</v>
      </c>
      <c r="M56" s="385">
        <f t="shared" si="13"/>
        <v>36.87676768778615</v>
      </c>
      <c r="N56" s="385">
        <f t="shared" si="13"/>
        <v>36.87676768778615</v>
      </c>
      <c r="O56" s="385">
        <f t="shared" si="13"/>
        <v>36.87676768778615</v>
      </c>
      <c r="P56" s="385">
        <f t="shared" si="13"/>
        <v>36.87676768778615</v>
      </c>
    </row>
    <row r="57" spans="2:16" ht="13.5">
      <c r="B57" s="18"/>
      <c r="C57" s="59" t="str">
        <f>IF(CZ_EN=1,VLOOKUP("Průměrná nomin. cena založená na Požadovaném příjmu",Slovnik,1,0),VLOOKUP("Průměrná nomin. cena založená na Požadovaném příjmu",Slovnik,2,0))</f>
        <v>Průměrná nomin. cena založená na Požadovaném příjmu</v>
      </c>
      <c r="D57" s="15" t="str">
        <f>$D$56</f>
        <v>Kč/m3</v>
      </c>
      <c r="E57" s="383"/>
      <c r="F57" s="384">
        <f>'Spolecne vstupy'!F19*F56</f>
        <v>0</v>
      </c>
      <c r="G57" s="385">
        <f>'Spolecne vstupy'!G19*G56</f>
        <v>44.16604592668746</v>
      </c>
      <c r="H57" s="385">
        <f>'Spolecne vstupy'!H19*H56</f>
        <v>40.090703531082106</v>
      </c>
      <c r="I57" s="385">
        <f>'Spolecne vstupy'!I19*I56</f>
        <v>40.140814215020114</v>
      </c>
      <c r="J57" s="385">
        <f>'Spolecne vstupy'!J19*J56</f>
        <v>40.32166165517782</v>
      </c>
      <c r="K57" s="385">
        <f>'Spolecne vstupy'!K19*K56</f>
        <v>40.83468108605706</v>
      </c>
      <c r="L57" s="385">
        <f>'Spolecne vstupy'!L19*L56</f>
        <v>41.6513747077782</v>
      </c>
      <c r="M57" s="385">
        <f>'Spolecne vstupy'!M19*M56</f>
        <v>42.48440220193377</v>
      </c>
      <c r="N57" s="385">
        <f>'Spolecne vstupy'!N19*N56</f>
        <v>43.33409024597245</v>
      </c>
      <c r="O57" s="385">
        <f>'Spolecne vstupy'!O19*O56</f>
        <v>44.2007720508919</v>
      </c>
      <c r="P57" s="385">
        <f>'Spolecne vstupy'!P19*P56</f>
        <v>45.084787491909736</v>
      </c>
    </row>
    <row r="58" spans="2:6" ht="13.5">
      <c r="B58" s="18"/>
      <c r="C58" s="18"/>
      <c r="F58" s="307"/>
    </row>
    <row r="59" spans="2:6" ht="13.5">
      <c r="B59" s="18"/>
      <c r="C59" s="234" t="str">
        <f>IF(CZ_EN=1,VLOOKUP("Zisk ve vztahu ke Kalkulaci",Slovnik,1,0),VLOOKUP("Zisk ve vztahu ke Kalkulaci",Slovnik,2,0))</f>
        <v>Zisk ve vztahu ke Kalkulaci</v>
      </c>
      <c r="F59" s="307"/>
    </row>
    <row r="60" spans="2:16" ht="13.5">
      <c r="B60" s="18"/>
      <c r="C60" s="41" t="str">
        <f>IF(CZ_EN=1,VLOOKUP("Přiměřený zisk po snížení před zdaněním",Slovnik,1,0),VLOOKUP("Přiměřený zisk po snížení před zdaněním",Slovnik,2,0))</f>
        <v>Přiměřený zisk po snížení před zdaněním</v>
      </c>
      <c r="D60" s="41" t="str">
        <f>'Vstupy S'!$D$6</f>
        <v>tis. Kč</v>
      </c>
      <c r="E60" s="218">
        <f aca="true" t="shared" si="14" ref="E60:P60">E32-E47</f>
        <v>0</v>
      </c>
      <c r="F60" s="309">
        <f t="shared" si="14"/>
        <v>0</v>
      </c>
      <c r="G60" s="43">
        <f t="shared" si="14"/>
        <v>97.31959564541191</v>
      </c>
      <c r="H60" s="43">
        <f t="shared" si="14"/>
        <v>125.87132192846002</v>
      </c>
      <c r="I60" s="43">
        <f t="shared" si="14"/>
        <v>131.2577293934679</v>
      </c>
      <c r="J60" s="43">
        <f t="shared" si="14"/>
        <v>136.15446345256595</v>
      </c>
      <c r="K60" s="43">
        <f t="shared" si="14"/>
        <v>138.6028304821154</v>
      </c>
      <c r="L60" s="43">
        <f t="shared" si="14"/>
        <v>138.6028304821154</v>
      </c>
      <c r="M60" s="43">
        <f t="shared" si="14"/>
        <v>138.6028304821154</v>
      </c>
      <c r="N60" s="43">
        <f t="shared" si="14"/>
        <v>138.6028304821154</v>
      </c>
      <c r="O60" s="43">
        <f t="shared" si="14"/>
        <v>138.6028304821154</v>
      </c>
      <c r="P60" s="43">
        <f t="shared" si="14"/>
        <v>138.6028304821154</v>
      </c>
    </row>
    <row r="61" spans="2:16" ht="13.5">
      <c r="B61" s="18"/>
      <c r="C61" s="44" t="str">
        <f>IF(CZ_EN=1,VLOOKUP("Potencionální zisk z titulu nikdy nevybraných pohledávek",Slovnik,1,0),VLOOKUP("Potencionální zisk z titulu nikdy nevybraných pohledávek",Slovnik,2,0))</f>
        <v>Potencionální zisk z titulu nikdy nevybraných pohledávek</v>
      </c>
      <c r="D61" s="44" t="str">
        <f>'Vstupy S'!$D$6</f>
        <v>tis. Kč</v>
      </c>
      <c r="E61" s="219">
        <f>IF('Spolecne vstupy'!E21=0,0,E41/'Spolecne vstupy'!E21)-E41</f>
        <v>0</v>
      </c>
      <c r="F61" s="310">
        <f>IF('Spolecne vstupy'!F21=0,0,F48/'Spolecne vstupy'!F21)-F48</f>
        <v>0</v>
      </c>
      <c r="G61" s="19">
        <f>IF('Spolecne vstupy'!G21=0,0,G48/'Spolecne vstupy'!G21)-G48</f>
        <v>10.275189570431394</v>
      </c>
      <c r="H61" s="19">
        <f>IF('Spolecne vstupy'!H21=0,0,H48/'Spolecne vstupy'!H21)-H48</f>
        <v>13.37048361107918</v>
      </c>
      <c r="I61" s="19">
        <f>IF('Spolecne vstupy'!I21=0,0,I48/'Spolecne vstupy'!I21)-I48</f>
        <v>13.954424307401496</v>
      </c>
      <c r="J61" s="19">
        <f>IF('Spolecne vstupy'!J21=0,0,J48/'Spolecne vstupy'!J21)-J48</f>
        <v>14.485279485877072</v>
      </c>
      <c r="K61" s="19">
        <f>IF('Spolecne vstupy'!K21=0,0,K48/'Spolecne vstupy'!K21)-K48</f>
        <v>14.750707075114406</v>
      </c>
      <c r="L61" s="19">
        <f>IF('Spolecne vstupy'!L21=0,0,L48/'Spolecne vstupy'!L21)-L48</f>
        <v>14.750707075114406</v>
      </c>
      <c r="M61" s="19">
        <f>IF('Spolecne vstupy'!M21=0,0,M48/'Spolecne vstupy'!M21)-M48</f>
        <v>14.750707075114406</v>
      </c>
      <c r="N61" s="19">
        <f>IF('Spolecne vstupy'!N21=0,0,N48/'Spolecne vstupy'!N21)-N48</f>
        <v>14.750707075114406</v>
      </c>
      <c r="O61" s="19">
        <f>IF('Spolecne vstupy'!O21=0,0,O48/'Spolecne vstupy'!O21)-O48</f>
        <v>14.750707075114406</v>
      </c>
      <c r="P61" s="19">
        <f>IF('Spolecne vstupy'!P21=0,0,P48/'Spolecne vstupy'!P21)-P48</f>
        <v>14.750707075114406</v>
      </c>
    </row>
    <row r="62" spans="2:16" ht="13.5">
      <c r="B62" s="18"/>
      <c r="C62" s="45" t="str">
        <f>'Vystupy V'!C62</f>
        <v>Úprava o finanční náklady a výnosy</v>
      </c>
      <c r="D62" s="45" t="str">
        <f>'Vstupy S'!$D$6</f>
        <v>tis. Kč</v>
      </c>
      <c r="E62" s="212">
        <f>'Vstupy S'!E97</f>
        <v>0</v>
      </c>
      <c r="F62" s="311">
        <f>'Vstupy S'!F97</f>
        <v>0</v>
      </c>
      <c r="G62" s="47">
        <f>'Vstupy S'!G97</f>
        <v>0</v>
      </c>
      <c r="H62" s="47">
        <f>'Vstupy S'!H97</f>
        <v>0</v>
      </c>
      <c r="I62" s="47">
        <f>'Vstupy S'!I97</f>
        <v>0</v>
      </c>
      <c r="J62" s="47">
        <f>'Vstupy S'!J97</f>
        <v>0</v>
      </c>
      <c r="K62" s="47">
        <f>'Vstupy S'!K97</f>
        <v>0</v>
      </c>
      <c r="L62" s="47">
        <f>'Vstupy S'!L97</f>
        <v>0</v>
      </c>
      <c r="M62" s="47">
        <f>'Vstupy S'!M97</f>
        <v>0</v>
      </c>
      <c r="N62" s="47">
        <f>'Vstupy S'!N97</f>
        <v>0</v>
      </c>
      <c r="O62" s="47">
        <f>'Vstupy S'!O97</f>
        <v>0</v>
      </c>
      <c r="P62" s="47">
        <f>'Vstupy S'!P97</f>
        <v>0</v>
      </c>
    </row>
    <row r="63" spans="2:16" ht="13.5">
      <c r="B63" s="18"/>
      <c r="C63" s="45" t="str">
        <f>IF(CZ_EN=1,VLOOKUP("Kalkulační zisk",Slovnik,1,0),VLOOKUP("Kalkulační zisk",Slovnik,2,0))</f>
        <v>Kalkulační zisk</v>
      </c>
      <c r="D63" s="58" t="str">
        <f>'Vstupy S'!$D$6</f>
        <v>tis. Kč</v>
      </c>
      <c r="E63" s="212">
        <f>E60+E61-E62</f>
        <v>0</v>
      </c>
      <c r="F63" s="311">
        <f aca="true" t="shared" si="15" ref="F63:P63">F60+F61-F62</f>
        <v>0</v>
      </c>
      <c r="G63" s="47">
        <f t="shared" si="15"/>
        <v>107.5947852158433</v>
      </c>
      <c r="H63" s="47">
        <f t="shared" si="15"/>
        <v>139.2418055395392</v>
      </c>
      <c r="I63" s="47">
        <f t="shared" si="15"/>
        <v>145.2121537008694</v>
      </c>
      <c r="J63" s="47">
        <f t="shared" si="15"/>
        <v>150.63974293844302</v>
      </c>
      <c r="K63" s="47">
        <f t="shared" si="15"/>
        <v>153.3535375572298</v>
      </c>
      <c r="L63" s="47">
        <f t="shared" si="15"/>
        <v>153.3535375572298</v>
      </c>
      <c r="M63" s="47">
        <f t="shared" si="15"/>
        <v>153.3535375572298</v>
      </c>
      <c r="N63" s="47">
        <f t="shared" si="15"/>
        <v>153.3535375572298</v>
      </c>
      <c r="O63" s="47">
        <f t="shared" si="15"/>
        <v>153.3535375572298</v>
      </c>
      <c r="P63" s="47">
        <f t="shared" si="15"/>
        <v>153.3535375572298</v>
      </c>
    </row>
    <row r="64" spans="2:16" ht="13.5">
      <c r="B64" s="18"/>
      <c r="C64" s="59" t="str">
        <f>CONCATENATE(IF(CZ_EN=1,VLOOKUP("Kalkulační zisk",Slovnik,1,0),VLOOKUP("Kalkulační zisk",Slovnik,2,0))," (",IF(CZ_EN=1,VLOOKUP("v běžných cenách",Slovnik,1,0),VLOOKUP("v běžných cenách",Slovnik,2,0)),")")</f>
        <v>Kalkulační zisk (v běžných cenách)</v>
      </c>
      <c r="D64" s="60" t="str">
        <f>'Vstupy S'!$D$6</f>
        <v>tis. Kč</v>
      </c>
      <c r="E64" s="216"/>
      <c r="F64" s="313">
        <f>F63*'Spolecne vstupy'!F19</f>
        <v>0</v>
      </c>
      <c r="G64" s="20">
        <f>G63*'Spolecne vstupy'!G19</f>
        <v>110.06946527580769</v>
      </c>
      <c r="H64" s="20">
        <f>H63*'Spolecne vstupy'!H19</f>
        <v>145.29325440828754</v>
      </c>
      <c r="I64" s="20">
        <f>I63*'Spolecne vstupy'!I19</f>
        <v>154.55353537872335</v>
      </c>
      <c r="J64" s="20">
        <f>J63*'Spolecne vstupy'!J19</f>
        <v>163.53688263167626</v>
      </c>
      <c r="K64" s="20">
        <f>K63*'Spolecne vstupy'!K19</f>
        <v>169.81268132245276</v>
      </c>
      <c r="L64" s="20">
        <f>L63*'Spolecne vstupy'!L19</f>
        <v>173.20893494890183</v>
      </c>
      <c r="M64" s="20">
        <f>M63*'Spolecne vstupy'!M19</f>
        <v>176.6731136478799</v>
      </c>
      <c r="N64" s="20">
        <f>N63*'Spolecne vstupy'!N19</f>
        <v>180.20657592083748</v>
      </c>
      <c r="O64" s="20">
        <f>O63*'Spolecne vstupy'!O19</f>
        <v>183.81070743925426</v>
      </c>
      <c r="P64" s="20">
        <f>P63*'Spolecne vstupy'!P19</f>
        <v>187.48692158803934</v>
      </c>
    </row>
    <row r="65" spans="2:6" ht="13.5">
      <c r="B65" s="18"/>
      <c r="C65" s="18"/>
      <c r="F65" s="307"/>
    </row>
    <row r="66" spans="2:16" ht="13.5">
      <c r="B66" s="18"/>
      <c r="C66" s="15" t="str">
        <f>IF(CZ_EN=1,VLOOKUP("Kalkulační zisk jako % ÚVN",Slovnik,1,0),VLOOKUP("Kalkulační zisk jako % ÚVN",Slovnik,2,0))</f>
        <v>Kalkulační zisk jako % ÚVN</v>
      </c>
      <c r="D66" s="60" t="s">
        <v>67</v>
      </c>
      <c r="E66" s="364">
        <f aca="true" t="shared" si="16" ref="E66:P66">IF(E29+E30+E31=0,0,E63/(E29+E30+E31))</f>
        <v>0</v>
      </c>
      <c r="F66" s="365">
        <f t="shared" si="16"/>
        <v>0</v>
      </c>
      <c r="G66" s="366">
        <f t="shared" si="16"/>
        <v>0.021390613362990717</v>
      </c>
      <c r="H66" s="366">
        <f t="shared" si="16"/>
        <v>0.021271281017344823</v>
      </c>
      <c r="I66" s="366">
        <f t="shared" si="16"/>
        <v>0.02125470633794927</v>
      </c>
      <c r="J66" s="366">
        <f t="shared" si="16"/>
        <v>0.021240798496678374</v>
      </c>
      <c r="K66" s="366">
        <f t="shared" si="16"/>
        <v>0.021234220099311796</v>
      </c>
      <c r="L66" s="366">
        <f t="shared" si="16"/>
        <v>0.021234220099311796</v>
      </c>
      <c r="M66" s="366">
        <f t="shared" si="16"/>
        <v>0.021234220099311796</v>
      </c>
      <c r="N66" s="366">
        <f t="shared" si="16"/>
        <v>0.021234220099311796</v>
      </c>
      <c r="O66" s="366">
        <f t="shared" si="16"/>
        <v>0.021234220099311796</v>
      </c>
      <c r="P66" s="366">
        <f t="shared" si="16"/>
        <v>0.021234220099311796</v>
      </c>
    </row>
    <row r="67" spans="2:6" ht="13.5">
      <c r="B67" s="18"/>
      <c r="C67" s="18"/>
      <c r="F67" s="307"/>
    </row>
    <row r="68" spans="1:16" ht="13.5">
      <c r="A68" s="9">
        <f>'Vstupy S'!E9</f>
        <v>1</v>
      </c>
      <c r="B68" s="62" t="s">
        <v>512</v>
      </c>
      <c r="C68" s="62" t="str">
        <f>IF(CZ_EN=1,VLOOKUP("POVOLENÝ PŘÍJEM (pokud je relevantní)",Slovnik,1,0),VLOOKUP("POVOLENÝ PŘÍJEM (pokud je relevantní)",Slovnik,2,0))</f>
        <v>POVOLENÝ PŘÍJEM (pokud je relevantní)</v>
      </c>
      <c r="D68" s="63"/>
      <c r="E68" s="64"/>
      <c r="F68" s="316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2:6" ht="13.5">
      <c r="B69" s="18"/>
      <c r="C69" s="18"/>
      <c r="F69" s="307"/>
    </row>
    <row r="70" spans="2:6" ht="13.5">
      <c r="B70" s="18"/>
      <c r="C70" s="15" t="str">
        <f>'Vstupy V'!C10</f>
        <v>% ročního reálného růstu pro konstantní nárůst</v>
      </c>
      <c r="D70" s="15"/>
      <c r="E70" s="392">
        <f>'Vstupy S'!E10</f>
        <v>0</v>
      </c>
      <c r="F70" s="307"/>
    </row>
    <row r="71" spans="2:16" ht="13.5">
      <c r="B71" s="18"/>
      <c r="C71" s="59" t="str">
        <f>IF(CZ_EN=1,VLOOKUP("Průměrná reálná cena založená na Povoleném příjmu",Slovnik,1,0),VLOOKUP("Průměrná reálná cena založená na Povoleném příjmu",Slovnik,2,0))</f>
        <v>Průměrná reálná cena založená na Povoleném příjmu</v>
      </c>
      <c r="D71" s="15" t="str">
        <f>$D$56</f>
        <v>Kč/m3</v>
      </c>
      <c r="E71" s="21"/>
      <c r="F71" s="315"/>
      <c r="G71" s="22">
        <f>IF(OR('Vstupy S'!$E$9=1,'Spolecne vstupy'!G21=0),0,'Vypocty S'!G47/'Spolecne vstupy'!G21)</f>
        <v>0</v>
      </c>
      <c r="H71" s="22">
        <f>IF(OR('Vstupy S'!$E$9=1,'Spolecne vstupy'!H21=0),0,'Vypocty S'!H47/'Spolecne vstupy'!H21)</f>
        <v>0</v>
      </c>
      <c r="I71" s="22">
        <f>IF(OR('Vstupy S'!$E$9=1,'Spolecne vstupy'!I21=0),0,'Vypocty S'!I47/'Spolecne vstupy'!I21)</f>
        <v>0</v>
      </c>
      <c r="J71" s="22">
        <f>IF(OR('Vstupy S'!$E$9=1,'Spolecne vstupy'!J21=0),0,'Vypocty S'!J47/'Spolecne vstupy'!J21)</f>
        <v>0</v>
      </c>
      <c r="K71" s="22">
        <f>IF(OR('Vstupy S'!$E$9=1,'Spolecne vstupy'!K21=0),0,'Vypocty S'!K47/'Spolecne vstupy'!K21)</f>
        <v>0</v>
      </c>
      <c r="L71" s="22">
        <f>IF(OR('Vstupy S'!$E$9=1,'Spolecne vstupy'!L21=0),0,'Vypocty S'!L47/'Spolecne vstupy'!L21)</f>
        <v>0</v>
      </c>
      <c r="M71" s="22">
        <f>IF(OR('Vstupy S'!$E$9=1,'Spolecne vstupy'!M21=0),0,'Vypocty S'!M47/'Spolecne vstupy'!M21)</f>
        <v>0</v>
      </c>
      <c r="N71" s="22">
        <f>IF(OR('Vstupy S'!$E$9=1,'Spolecne vstupy'!N21=0),0,'Vypocty S'!N47/'Spolecne vstupy'!N21)</f>
        <v>0</v>
      </c>
      <c r="O71" s="22">
        <f>IF(OR('Vstupy S'!$E$9=1,'Spolecne vstupy'!O21=0),0,'Vypocty S'!O47/'Spolecne vstupy'!O21)</f>
        <v>0</v>
      </c>
      <c r="P71" s="22">
        <f>IF(OR('Vstupy S'!$E$9=1,'Spolecne vstupy'!P21=0),0,'Vypocty S'!P47/'Spolecne vstupy'!P21)</f>
        <v>0</v>
      </c>
    </row>
    <row r="72" spans="2:16" ht="13.5">
      <c r="B72" s="18"/>
      <c r="C72" s="59" t="str">
        <f>IF(CZ_EN=1,VLOOKUP("Průměrná nominální cena založená na Povoleném příjmu",Slovnik,1,0),VLOOKUP("Průměrná nominální cena založená na Povoleném příjmu",Slovnik,2,0))</f>
        <v>Průměrná nominální cena založená na Povoleném příjmu</v>
      </c>
      <c r="D72" s="15" t="str">
        <f>$D$56</f>
        <v>Kč/m3</v>
      </c>
      <c r="E72" s="21"/>
      <c r="F72" s="315"/>
      <c r="G72" s="22">
        <f>G71*'Spolecne vstupy'!G19</f>
        <v>0</v>
      </c>
      <c r="H72" s="22">
        <f>H71*'Spolecne vstupy'!H19</f>
        <v>0</v>
      </c>
      <c r="I72" s="22">
        <f>I71*'Spolecne vstupy'!I19</f>
        <v>0</v>
      </c>
      <c r="J72" s="22">
        <f>J71*'Spolecne vstupy'!J19</f>
        <v>0</v>
      </c>
      <c r="K72" s="22">
        <f>K71*'Spolecne vstupy'!K19</f>
        <v>0</v>
      </c>
      <c r="L72" s="22">
        <f>L71*'Spolecne vstupy'!L19</f>
        <v>0</v>
      </c>
      <c r="M72" s="22">
        <f>M71*'Spolecne vstupy'!M19</f>
        <v>0</v>
      </c>
      <c r="N72" s="22">
        <f>N71*'Spolecne vstupy'!N19</f>
        <v>0</v>
      </c>
      <c r="O72" s="22">
        <f>O71*'Spolecne vstupy'!O19</f>
        <v>0</v>
      </c>
      <c r="P72" s="22">
        <f>P71*'Spolecne vstupy'!P19</f>
        <v>0</v>
      </c>
    </row>
    <row r="73" spans="3:16" ht="13.5">
      <c r="C73" s="44"/>
      <c r="D73" s="44"/>
      <c r="E73" s="393"/>
      <c r="F73" s="394"/>
      <c r="G73" s="395"/>
      <c r="H73" s="396"/>
      <c r="I73" s="396"/>
      <c r="J73" s="396"/>
      <c r="K73" s="396"/>
      <c r="L73" s="396"/>
      <c r="M73" s="396"/>
      <c r="N73" s="396"/>
      <c r="O73" s="396"/>
      <c r="P73" s="396"/>
    </row>
    <row r="74" ht="13.5"/>
  </sheetData>
  <sheetProtection password="97A7" sheet="1" objects="1" scenarios="1" formatColumns="0" formatRows="0"/>
  <conditionalFormatting sqref="G25:P25">
    <cfRule type="expression" priority="1" dxfId="9" stopIfTrue="1">
      <formula>G$16=1</formula>
    </cfRule>
    <cfRule type="expression" priority="2" dxfId="8" stopIfTrue="1">
      <formula>G$16=2</formula>
    </cfRule>
  </conditionalFormatting>
  <conditionalFormatting sqref="G17:P24 G46:P48 G56:P57 G28:P41 G43:P43 G50:P50 G66:P66 G52:P54 G6:P9 G12:P14 G60:P64">
    <cfRule type="expression" priority="6" dxfId="2" stopIfTrue="1">
      <formula>G$16=1</formula>
    </cfRule>
    <cfRule type="expression" priority="7" dxfId="1" stopIfTrue="1">
      <formula>G$16=2</formula>
    </cfRule>
  </conditionalFormatting>
  <conditionalFormatting sqref="B68:E68 G68:P68">
    <cfRule type="expression" priority="12" dxfId="236" stopIfTrue="1">
      <formula>$A$68=1</formula>
    </cfRule>
  </conditionalFormatting>
  <conditionalFormatting sqref="F68 C69:F72">
    <cfRule type="expression" priority="13" dxfId="238" stopIfTrue="1">
      <formula>$A$68=1</formula>
    </cfRule>
  </conditionalFormatting>
  <conditionalFormatting sqref="G71:P72">
    <cfRule type="expression" priority="14" dxfId="239" stopIfTrue="1">
      <formula>AND(G$16=1,$A$68=2)</formula>
    </cfRule>
    <cfRule type="expression" priority="15" dxfId="238" stopIfTrue="1">
      <formula>$A$68=1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54" r:id="rId4"/>
  <headerFooter>
    <oddFooter>&amp;L&amp;A
&amp;F&amp;C&amp;P celkem &amp;N&amp;R&amp;T
&amp;D</oddFooter>
  </headerFooter>
  <ignoredErrors>
    <ignoredError sqref="B39 B18:B19 B33 B35:B37 B21:B23 B25:B26 B28:B31" numberStoredAsText="1"/>
    <ignoredError sqref="C38" formula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tabColor indexed="50"/>
  </sheetPr>
  <dimension ref="A2:AN123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2" width="4.57421875" style="1" customWidth="1"/>
    <col min="3" max="3" width="56.00390625" style="1" customWidth="1"/>
    <col min="4" max="4" width="9.421875" style="18" customWidth="1"/>
    <col min="5" max="16" width="10.140625" style="1" customWidth="1"/>
    <col min="17" max="17" width="8.57421875" style="1" customWidth="1"/>
    <col min="18" max="16384" width="8.57421875" style="1" hidden="1" customWidth="1"/>
  </cols>
  <sheetData>
    <row r="1" ht="14.25"/>
    <row r="2" spans="3:15" ht="23.25" customHeight="1">
      <c r="C2" s="2" t="str">
        <f>IF(CZ_EN=1,VLOOKUP("SOUHRN",Slovnik,1,0),VLOOKUP("SOUHRN",Slovnik,2,0))</f>
        <v>SOUHRN</v>
      </c>
      <c r="K2" s="237" t="str">
        <f>IF(CZ_EN=1,VLOOKUP("Krajský index čistých příjmů domácností",Slovnik,1,0),VLOOKUP("Krajský index čistých příjmů domácností",Slovnik,2,0))</f>
        <v>Krajský index čistých příjmů domácností</v>
      </c>
      <c r="L2" s="237"/>
      <c r="M2" s="237"/>
      <c r="N2" s="237"/>
      <c r="O2" s="238" t="s">
        <v>431</v>
      </c>
    </row>
    <row r="3" spans="3:15" ht="14.25" customHeight="1">
      <c r="C3" s="2"/>
      <c r="K3" s="239" t="str">
        <f>IF(CZ_EN=1,VLOOKUP("Kraj",Slovnik,1,0),VLOOKUP("Kraj",Slovnik,2,0))</f>
        <v>Kraj</v>
      </c>
      <c r="L3" s="241"/>
      <c r="M3" s="241"/>
      <c r="N3" s="241"/>
      <c r="O3" s="241"/>
    </row>
    <row r="4" spans="3:15" ht="14.25" customHeight="1">
      <c r="C4" s="254" t="str">
        <f>IF(CZ_EN=1,VLOOKUP("Název vlastníka",Slovnik,1,0),VLOOKUP("Název vlastníka",Slovnik,2,0))</f>
        <v>Název vlastníka</v>
      </c>
      <c r="D4" s="301" t="str">
        <f>'Kryci list'!E16</f>
        <v>statutární město Frýdek-Místek</v>
      </c>
      <c r="E4" s="265"/>
      <c r="F4" s="265"/>
      <c r="G4" s="265"/>
      <c r="H4" s="265"/>
      <c r="I4" s="277"/>
      <c r="K4" s="241" t="str">
        <f>IF(CZ_EN=1,VLOOKUP("Uživatelský vstup",Slovnik,1,0),VLOOKUP("Uživatelský vstup",Slovnik,2,0))</f>
        <v>uživatelský vstup</v>
      </c>
      <c r="L4" s="241"/>
      <c r="M4" s="241"/>
      <c r="N4" s="241"/>
      <c r="O4" s="455">
        <v>1</v>
      </c>
    </row>
    <row r="5" spans="3:15" ht="14.25" customHeight="1">
      <c r="C5" s="255" t="str">
        <f>IF(CZ_EN=1,VLOOKUP("Název provozovatele",Slovnik,1,0),VLOOKUP("Název provozovatele",Slovnik,2,0))</f>
        <v>Název provozovatele</v>
      </c>
      <c r="D5" s="302">
        <f>'Kryci list'!E26</f>
        <v>0</v>
      </c>
      <c r="E5" s="249"/>
      <c r="F5" s="249"/>
      <c r="G5" s="249"/>
      <c r="H5" s="249"/>
      <c r="K5" s="242" t="s">
        <v>433</v>
      </c>
      <c r="L5" s="242"/>
      <c r="M5" s="242"/>
      <c r="N5" s="242"/>
      <c r="O5" s="456">
        <v>1.3</v>
      </c>
    </row>
    <row r="6" spans="3:15" ht="14.25" customHeight="1">
      <c r="C6" s="250"/>
      <c r="E6" s="18"/>
      <c r="F6" s="18"/>
      <c r="K6" s="243" t="s">
        <v>434</v>
      </c>
      <c r="L6" s="243"/>
      <c r="M6" s="243"/>
      <c r="N6" s="243"/>
      <c r="O6" s="457">
        <v>0.967</v>
      </c>
    </row>
    <row r="7" spans="3:15" ht="14.25" customHeight="1">
      <c r="C7" s="18"/>
      <c r="D7" s="25" t="str">
        <f>IF(CZ_EN=1,VLOOKUP("Vodné",Slovnik,1,0),VLOOKUP("Vodné",Slovnik,2,0))</f>
        <v>VODNÉ</v>
      </c>
      <c r="F7" s="25" t="str">
        <f>IF(CZ_EN=1,VLOOKUP("Stočné",Slovnik,1,0),VLOOKUP("Stočné",Slovnik,2,0))</f>
        <v>STOČNÉ</v>
      </c>
      <c r="K7" s="243" t="s">
        <v>435</v>
      </c>
      <c r="L7" s="243"/>
      <c r="M7" s="243"/>
      <c r="N7" s="243"/>
      <c r="O7" s="457">
        <v>1.004</v>
      </c>
    </row>
    <row r="8" spans="3:15" ht="14.25" customHeight="1">
      <c r="C8" s="251" t="str">
        <f>IF(CZ_EN=1,VLOOKUP("Požadované VaPNaK",Slovnik,1,0),VLOOKUP("Požadované VaPNaK",Slovnik,2,0))</f>
        <v>Požadované VaPNaK</v>
      </c>
      <c r="D8" s="252">
        <f>waccDW</f>
        <v>0.07</v>
      </c>
      <c r="E8" s="165"/>
      <c r="F8" s="253">
        <f>waccWW</f>
        <v>0.07</v>
      </c>
      <c r="K8" s="243" t="s">
        <v>436</v>
      </c>
      <c r="L8" s="243"/>
      <c r="M8" s="243"/>
      <c r="N8" s="243"/>
      <c r="O8" s="457">
        <v>0.966</v>
      </c>
    </row>
    <row r="9" spans="3:15" ht="14.25" customHeight="1">
      <c r="C9" s="18"/>
      <c r="D9" s="1"/>
      <c r="K9" s="243" t="s">
        <v>437</v>
      </c>
      <c r="L9" s="243"/>
      <c r="M9" s="243"/>
      <c r="N9" s="243"/>
      <c r="O9" s="457">
        <v>0.972</v>
      </c>
    </row>
    <row r="10" spans="3:15" ht="14.25" customHeight="1">
      <c r="C10" s="24"/>
      <c r="D10" s="1"/>
      <c r="K10" s="243" t="s">
        <v>438</v>
      </c>
      <c r="L10" s="243"/>
      <c r="M10" s="243"/>
      <c r="N10" s="243"/>
      <c r="O10" s="457">
        <v>0.949</v>
      </c>
    </row>
    <row r="11" spans="3:15" ht="14.25" customHeight="1">
      <c r="C11" s="24" t="str">
        <f>IF(CZ_EN=1,VLOOKUP("Zvolený kraj",Slovnik,1,0),VLOOKUP("Zvolený kraj",Slovnik,2,0))</f>
        <v>Zvolený kraj</v>
      </c>
      <c r="D11" s="18" t="str">
        <f>IF(CZ_EN=1,VLOOKUP("Průměrná spotřeba vody v domácnostech",Slovnik,1,0),VLOOKUP("Průměrná spotřeba vody v domácnostech",Slovnik,2,0))</f>
        <v>Průměrná spotřeba vody v domácnostech</v>
      </c>
      <c r="E11" s="18"/>
      <c r="F11" s="18"/>
      <c r="G11" s="18"/>
      <c r="H11" s="18"/>
      <c r="K11" s="243" t="s">
        <v>439</v>
      </c>
      <c r="L11" s="243"/>
      <c r="M11" s="243"/>
      <c r="N11" s="243"/>
      <c r="O11" s="457">
        <v>0.876</v>
      </c>
    </row>
    <row r="12" spans="3:15" ht="14.25" customHeight="1">
      <c r="C12" s="256">
        <v>1</v>
      </c>
      <c r="D12" s="136">
        <v>80</v>
      </c>
      <c r="E12" s="246" t="str">
        <f>IF(CZ_EN=1,VLOOKUP("l/os/den",Slovnik,1,0),VLOOKUP("l/os/den",Slovnik,2,0))</f>
        <v>l/os/den</v>
      </c>
      <c r="F12" s="246"/>
      <c r="G12" s="246"/>
      <c r="H12" s="246"/>
      <c r="K12" s="243" t="s">
        <v>440</v>
      </c>
      <c r="L12" s="243"/>
      <c r="M12" s="243"/>
      <c r="N12" s="243"/>
      <c r="O12" s="457">
        <v>0.922</v>
      </c>
    </row>
    <row r="13" spans="3:15" ht="14.25" customHeight="1">
      <c r="C13" s="2"/>
      <c r="D13" s="245"/>
      <c r="E13" s="23"/>
      <c r="F13" s="23"/>
      <c r="G13" s="23"/>
      <c r="H13" s="240"/>
      <c r="K13" s="243" t="s">
        <v>441</v>
      </c>
      <c r="L13" s="243"/>
      <c r="M13" s="243"/>
      <c r="N13" s="243"/>
      <c r="O13" s="457">
        <v>0.887</v>
      </c>
    </row>
    <row r="14" spans="4:15" ht="14.25" customHeight="1">
      <c r="D14" s="245" t="str">
        <f>IF(CZ_EN=1,VLOOKUP("ve výchozím roce",Slovnik,1,0),VLOOKUP("ve výchozím roce",Slovnik,2,0))</f>
        <v>ve výchozím roce</v>
      </c>
      <c r="E14" s="245"/>
      <c r="F14" s="245" t="str">
        <f>IF(CZ_EN=1,VLOOKUP("v daném kraji",Slovnik,1,0),VLOOKUP("v daném kraji",Slovnik,2,0))</f>
        <v>v daném kraji</v>
      </c>
      <c r="G14" s="245"/>
      <c r="K14" s="243" t="s">
        <v>442</v>
      </c>
      <c r="L14" s="243"/>
      <c r="M14" s="243"/>
      <c r="N14" s="243"/>
      <c r="O14" s="457">
        <v>1.004</v>
      </c>
    </row>
    <row r="15" spans="3:15" ht="14.25" customHeight="1">
      <c r="C15" s="112" t="str">
        <f>IF(CZ_EN=1,VLOOKUP("Čistý průměrný měsíční příjem domácnosti",Slovnik,1,0),VLOOKUP("Čistý průměrný měsíční příjem domácnosti",Slovnik,2,0))</f>
        <v>Čistý průměrný měsíční příjem domácnosti</v>
      </c>
      <c r="D15" s="459">
        <f>149737/12</f>
        <v>12478.083333333334</v>
      </c>
      <c r="E15" s="247" t="str">
        <f>IF(CZ_EN=1,VLOOKUP("Kč / osobu",Slovnik,1,0),VLOOKUP("Kč / osobu",Slovnik,2,0))</f>
        <v>Kč / osobu</v>
      </c>
      <c r="F15" s="278">
        <f ca="1">D15*OFFSET(K3,C12,4)</f>
        <v>12478.083333333334</v>
      </c>
      <c r="G15" s="247" t="str">
        <f>E15</f>
        <v>Kč / osobu</v>
      </c>
      <c r="K15" s="243" t="s">
        <v>443</v>
      </c>
      <c r="L15" s="243"/>
      <c r="M15" s="243"/>
      <c r="N15" s="243"/>
      <c r="O15" s="457">
        <v>1.101</v>
      </c>
    </row>
    <row r="16" spans="3:15" ht="14.25" customHeight="1">
      <c r="C16" s="2"/>
      <c r="D16" s="23"/>
      <c r="E16" s="23"/>
      <c r="F16" s="23"/>
      <c r="G16" s="23"/>
      <c r="H16" s="245"/>
      <c r="K16" s="243" t="s">
        <v>444</v>
      </c>
      <c r="L16" s="243"/>
      <c r="M16" s="243"/>
      <c r="N16" s="243"/>
      <c r="O16" s="457">
        <v>0.854</v>
      </c>
    </row>
    <row r="17" spans="3:15" ht="14.25" customHeight="1">
      <c r="C17" s="2"/>
      <c r="D17" s="247" t="str">
        <f>IF(CZ_EN=1,VLOOKUP("DPH z vodného a stočného",Slovnik,1,0),VLOOKUP("DPH z vodného a stočného",Slovnik,2,0))</f>
        <v>DPH z vodného a stočného</v>
      </c>
      <c r="E17" s="246"/>
      <c r="F17" s="15"/>
      <c r="G17" s="246"/>
      <c r="H17" s="257">
        <f>'[1]Vstupy ex ante'!$P$4</f>
        <v>0.1</v>
      </c>
      <c r="K17" s="243" t="s">
        <v>445</v>
      </c>
      <c r="L17" s="243"/>
      <c r="M17" s="243"/>
      <c r="N17" s="243"/>
      <c r="O17" s="457">
        <v>0.987</v>
      </c>
    </row>
    <row r="18" spans="3:15" ht="14.25" customHeight="1">
      <c r="C18" s="2"/>
      <c r="D18" s="247" t="str">
        <f>IF(CZ_EN=1,VLOOKUP("Hranice sociální únosnosti",Slovnik,1,0),VLOOKUP("Hranice sociální únosnosti",Slovnik,2,0))</f>
        <v>Hranice sociální únosnosti</v>
      </c>
      <c r="E18" s="246"/>
      <c r="F18" s="246"/>
      <c r="G18" s="246"/>
      <c r="H18" s="257">
        <v>0.02</v>
      </c>
      <c r="K18" s="244" t="s">
        <v>446</v>
      </c>
      <c r="L18" s="244"/>
      <c r="M18" s="244"/>
      <c r="N18" s="244"/>
      <c r="O18" s="458">
        <v>0.915</v>
      </c>
    </row>
    <row r="19" spans="3:15" ht="14.25" customHeight="1">
      <c r="C19" s="2"/>
      <c r="K19" s="18"/>
      <c r="L19" s="18"/>
      <c r="M19" s="18"/>
      <c r="N19" s="18"/>
      <c r="O19" s="18"/>
    </row>
    <row r="20" spans="2:16" ht="13.5">
      <c r="B20" s="62" t="s">
        <v>2</v>
      </c>
      <c r="C20" s="62" t="str">
        <f>'Vystupy V'!C2</f>
        <v>VÝSTUPY - VODNÉ</v>
      </c>
      <c r="D20" s="65"/>
      <c r="E20" s="63"/>
      <c r="F20" s="316"/>
      <c r="G20" s="63" t="str">
        <f>IF(CZ_EN=1,VLOOKUP("budoucnost",Slovnik,1,0),VLOOKUP("budoucnost",Slovnik,2,0))</f>
        <v>budoucnost</v>
      </c>
      <c r="H20" s="63"/>
      <c r="I20" s="63"/>
      <c r="J20" s="63"/>
      <c r="K20" s="63"/>
      <c r="L20" s="63"/>
      <c r="M20" s="63"/>
      <c r="N20" s="63"/>
      <c r="O20" s="63"/>
      <c r="P20" s="63"/>
    </row>
    <row r="21" spans="3:6" ht="14.25" customHeight="1">
      <c r="C21" s="2"/>
      <c r="F21" s="317"/>
    </row>
    <row r="22" spans="3:22" ht="14.25" customHeight="1">
      <c r="C22" s="264" t="str">
        <f>IF(CZ_EN=1,VLOOKUP("Fyzické ukazatele",Slovnik,1,0),VLOOKUP("Fyzické ukazatele",Slovnik,2,0))</f>
        <v>Fyzické ukazatele</v>
      </c>
      <c r="D22" s="263"/>
      <c r="E22" s="217">
        <f>F22-1</f>
        <v>2020</v>
      </c>
      <c r="F22" s="308">
        <f>current</f>
        <v>2021</v>
      </c>
      <c r="G22" s="135">
        <f>F22+1</f>
        <v>2022</v>
      </c>
      <c r="H22" s="135">
        <f aca="true" t="shared" si="0" ref="H22:P22">G22+1</f>
        <v>2023</v>
      </c>
      <c r="I22" s="135">
        <f t="shared" si="0"/>
        <v>2024</v>
      </c>
      <c r="J22" s="135">
        <f t="shared" si="0"/>
        <v>2025</v>
      </c>
      <c r="K22" s="135">
        <f t="shared" si="0"/>
        <v>2026</v>
      </c>
      <c r="L22" s="135">
        <f t="shared" si="0"/>
        <v>2027</v>
      </c>
      <c r="M22" s="135">
        <f t="shared" si="0"/>
        <v>2028</v>
      </c>
      <c r="N22" s="135">
        <f t="shared" si="0"/>
        <v>2029</v>
      </c>
      <c r="O22" s="135">
        <f t="shared" si="0"/>
        <v>2030</v>
      </c>
      <c r="P22" s="135">
        <f t="shared" si="0"/>
        <v>2031</v>
      </c>
      <c r="Q22" s="259"/>
      <c r="R22" s="259"/>
      <c r="S22" s="259"/>
      <c r="T22" s="259"/>
      <c r="U22" s="259"/>
      <c r="V22" s="260"/>
    </row>
    <row r="23" spans="3:22" ht="14.25" customHeight="1">
      <c r="C23" s="269" t="str">
        <f>IF(CZ_EN=1,VLOOKUP("Objem vody dodané - domácnosti",Slovnik,1,0),VLOOKUP("Objem vody dodané - domácnosti",Slovnik,2,0))</f>
        <v>Objem vody dodané - domácnosti</v>
      </c>
      <c r="D23" s="270" t="str">
        <f>D25</f>
        <v>tis. m3/rok</v>
      </c>
      <c r="E23" s="218">
        <f>'Vstupy V'!E26</f>
        <v>0</v>
      </c>
      <c r="F23" s="309">
        <f>'Vstupy V'!F26</f>
        <v>0</v>
      </c>
      <c r="G23" s="43">
        <f>'Vstupy V'!G26</f>
        <v>76</v>
      </c>
      <c r="H23" s="43">
        <f>'Vstupy V'!H26</f>
        <v>78</v>
      </c>
      <c r="I23" s="43">
        <f>'Vstupy V'!I26</f>
        <v>80</v>
      </c>
      <c r="J23" s="43">
        <f>'Vstupy V'!J26</f>
        <v>84</v>
      </c>
      <c r="K23" s="43">
        <f>'Vstupy V'!K26</f>
        <v>88</v>
      </c>
      <c r="L23" s="43">
        <f>'Vstupy V'!L26</f>
        <v>88</v>
      </c>
      <c r="M23" s="43">
        <f>'Vstupy V'!M26</f>
        <v>88</v>
      </c>
      <c r="N23" s="43">
        <f>'Vstupy V'!N26</f>
        <v>88</v>
      </c>
      <c r="O23" s="43">
        <f>'Vstupy V'!O26</f>
        <v>88</v>
      </c>
      <c r="P23" s="43">
        <f>'Vstupy V'!P26</f>
        <v>88</v>
      </c>
      <c r="Q23" s="261"/>
      <c r="R23" s="261"/>
      <c r="S23" s="261"/>
      <c r="T23" s="261"/>
      <c r="U23" s="261"/>
      <c r="V23" s="262" t="s">
        <v>452</v>
      </c>
    </row>
    <row r="24" spans="3:22" ht="14.25" customHeight="1">
      <c r="C24" s="271" t="str">
        <f>IF(CZ_EN=1,VLOOKUP("Objem vody dodané - ostatní",Slovnik,1,0),VLOOKUP("Objem vody dodané - ostatní",Slovnik,2,0))</f>
        <v>Objem vody dodané - ostatní</v>
      </c>
      <c r="D24" s="272" t="str">
        <f>D25</f>
        <v>tis. m3/rok</v>
      </c>
      <c r="E24" s="219">
        <f>'Vstupy V'!E27</f>
        <v>0</v>
      </c>
      <c r="F24" s="310">
        <f>'Vstupy V'!F27</f>
        <v>0</v>
      </c>
      <c r="G24" s="19">
        <f>'Vstupy V'!G27</f>
        <v>51</v>
      </c>
      <c r="H24" s="19">
        <f>'Vstupy V'!H27</f>
        <v>52</v>
      </c>
      <c r="I24" s="19">
        <f>'Vstupy V'!I27</f>
        <v>55</v>
      </c>
      <c r="J24" s="19">
        <f>'Vstupy V'!J27</f>
        <v>56</v>
      </c>
      <c r="K24" s="19">
        <f>'Vstupy V'!K27</f>
        <v>57</v>
      </c>
      <c r="L24" s="19">
        <f>'Vstupy V'!L27</f>
        <v>57</v>
      </c>
      <c r="M24" s="19">
        <f>'Vstupy V'!M27</f>
        <v>57</v>
      </c>
      <c r="N24" s="19">
        <f>'Vstupy V'!N27</f>
        <v>57</v>
      </c>
      <c r="O24" s="19">
        <f>'Vstupy V'!O27</f>
        <v>57</v>
      </c>
      <c r="P24" s="19">
        <f>'Vstupy V'!P27</f>
        <v>57</v>
      </c>
      <c r="Q24" s="259"/>
      <c r="R24" s="259"/>
      <c r="S24" s="259"/>
      <c r="T24" s="259"/>
      <c r="U24" s="259"/>
      <c r="V24" s="258" t="s">
        <v>452</v>
      </c>
    </row>
    <row r="25" spans="3:22" ht="14.25" customHeight="1">
      <c r="C25" s="273" t="str">
        <f>'Vstupy V'!C28</f>
        <v>Objem vody dodané - celkem</v>
      </c>
      <c r="D25" s="274" t="str">
        <f>'Vstupy V'!D28</f>
        <v>tis. m3/rok</v>
      </c>
      <c r="E25" s="212">
        <f>'Vstupy V'!E28</f>
        <v>0</v>
      </c>
      <c r="F25" s="311">
        <f>'Vstupy V'!F28</f>
        <v>0</v>
      </c>
      <c r="G25" s="47">
        <f>'Vstupy V'!G28</f>
        <v>127</v>
      </c>
      <c r="H25" s="47">
        <f>'Vstupy V'!H28</f>
        <v>130</v>
      </c>
      <c r="I25" s="47">
        <f>'Vstupy V'!I28</f>
        <v>135</v>
      </c>
      <c r="J25" s="47">
        <f>'Vstupy V'!J28</f>
        <v>140</v>
      </c>
      <c r="K25" s="47">
        <f>'Vstupy V'!K28</f>
        <v>145</v>
      </c>
      <c r="L25" s="47">
        <f>'Vstupy V'!L28</f>
        <v>145</v>
      </c>
      <c r="M25" s="47">
        <f>'Vstupy V'!M28</f>
        <v>145</v>
      </c>
      <c r="N25" s="47">
        <f>'Vstupy V'!N28</f>
        <v>145</v>
      </c>
      <c r="O25" s="47">
        <f>'Vstupy V'!O28</f>
        <v>145</v>
      </c>
      <c r="P25" s="47">
        <f>'Vstupy V'!P28</f>
        <v>145</v>
      </c>
      <c r="Q25" s="259"/>
      <c r="R25" s="259"/>
      <c r="S25" s="259"/>
      <c r="T25" s="259"/>
      <c r="U25" s="259"/>
      <c r="V25" s="258" t="s">
        <v>452</v>
      </c>
    </row>
    <row r="26" spans="3:6" ht="14.25" customHeight="1">
      <c r="C26" s="2"/>
      <c r="F26" s="307"/>
    </row>
    <row r="27" spans="3:6" ht="14.25" customHeight="1">
      <c r="C27" s="37" t="str">
        <f>IF(CZ_EN=1,VLOOKUP("Požadovaný příjem ",Slovnik,1,0),VLOOKUP("Požadovaný příjem ",Slovnik,2,0))</f>
        <v>Požadovaný příjem </v>
      </c>
      <c r="F27" s="307"/>
    </row>
    <row r="28" spans="3:16" ht="14.25" customHeight="1">
      <c r="C28" s="41" t="str">
        <f>'Vystupy V'!C29</f>
        <v>Nájemné</v>
      </c>
      <c r="D28" s="56" t="str">
        <f>'Vystupy V'!D29</f>
        <v>tis. Kč</v>
      </c>
      <c r="E28" s="218">
        <f>'Vystupy V'!E29</f>
        <v>0</v>
      </c>
      <c r="F28" s="309">
        <f>'Vystupy V'!F29</f>
        <v>0</v>
      </c>
      <c r="G28" s="43">
        <f>'Vystupy V'!G29</f>
        <v>518</v>
      </c>
      <c r="H28" s="43">
        <f>'Vystupy V'!H29</f>
        <v>518</v>
      </c>
      <c r="I28" s="43">
        <f>'Vystupy V'!I29</f>
        <v>518</v>
      </c>
      <c r="J28" s="43">
        <f>'Vystupy V'!J29</f>
        <v>518</v>
      </c>
      <c r="K28" s="43">
        <f>'Vystupy V'!K29</f>
        <v>518</v>
      </c>
      <c r="L28" s="43">
        <f>'Vystupy V'!L29</f>
        <v>518</v>
      </c>
      <c r="M28" s="43">
        <f>'Vystupy V'!M29</f>
        <v>518</v>
      </c>
      <c r="N28" s="43">
        <f>'Vystupy V'!N29</f>
        <v>518</v>
      </c>
      <c r="O28" s="43">
        <f>'Vystupy V'!O29</f>
        <v>518</v>
      </c>
      <c r="P28" s="43">
        <f>'Vystupy V'!P29</f>
        <v>518</v>
      </c>
    </row>
    <row r="29" spans="3:16" ht="14.25" customHeight="1">
      <c r="C29" s="44" t="str">
        <f>'Vystupy V'!C30</f>
        <v>Provozní náklady</v>
      </c>
      <c r="D29" s="57" t="str">
        <f>'Vystupy V'!D30</f>
        <v>tis. Kč</v>
      </c>
      <c r="E29" s="219">
        <f>'Vystupy V'!E30</f>
        <v>0</v>
      </c>
      <c r="F29" s="310">
        <f>'Vystupy V'!F30</f>
        <v>0</v>
      </c>
      <c r="G29" s="19">
        <f>'Vystupy V'!G30</f>
        <v>2921</v>
      </c>
      <c r="H29" s="19">
        <f>'Vystupy V'!H30</f>
        <v>2990</v>
      </c>
      <c r="I29" s="19">
        <f>'Vystupy V'!I30</f>
        <v>3105</v>
      </c>
      <c r="J29" s="19">
        <f>'Vystupy V'!J30</f>
        <v>3220</v>
      </c>
      <c r="K29" s="19">
        <f>'Vystupy V'!K30</f>
        <v>3335</v>
      </c>
      <c r="L29" s="19">
        <f>'Vystupy V'!L30</f>
        <v>3335</v>
      </c>
      <c r="M29" s="19">
        <f>'Vystupy V'!M30</f>
        <v>3335</v>
      </c>
      <c r="N29" s="19">
        <f>'Vystupy V'!N30</f>
        <v>3335</v>
      </c>
      <c r="O29" s="19">
        <f>'Vystupy V'!O30</f>
        <v>3335</v>
      </c>
      <c r="P29" s="19">
        <f>'Vystupy V'!P30</f>
        <v>3335</v>
      </c>
    </row>
    <row r="30" spans="3:16" ht="14.25" customHeight="1">
      <c r="C30" s="44" t="str">
        <f>'Vystupy V'!C31</f>
        <v>Odpisy - nominální</v>
      </c>
      <c r="D30" s="57" t="str">
        <f>'Vystupy V'!D31</f>
        <v>tis. Kč</v>
      </c>
      <c r="E30" s="219">
        <f>'Vystupy V'!E31</f>
        <v>0</v>
      </c>
      <c r="F30" s="310">
        <f>'Vystupy V'!F31</f>
        <v>0</v>
      </c>
      <c r="G30" s="19">
        <f>'Vystupy V'!G31</f>
        <v>0</v>
      </c>
      <c r="H30" s="19">
        <f>'Vystupy V'!H31</f>
        <v>0</v>
      </c>
      <c r="I30" s="19">
        <f>'Vystupy V'!I31</f>
        <v>0</v>
      </c>
      <c r="J30" s="19">
        <f>'Vystupy V'!J31</f>
        <v>0</v>
      </c>
      <c r="K30" s="19">
        <f>'Vystupy V'!K31</f>
        <v>0</v>
      </c>
      <c r="L30" s="19">
        <f>'Vystupy V'!L31</f>
        <v>0</v>
      </c>
      <c r="M30" s="19">
        <f>'Vystupy V'!M31</f>
        <v>0</v>
      </c>
      <c r="N30" s="19">
        <f>'Vystupy V'!N31</f>
        <v>0</v>
      </c>
      <c r="O30" s="19">
        <f>'Vystupy V'!O31</f>
        <v>0</v>
      </c>
      <c r="P30" s="19">
        <f>'Vystupy V'!P31</f>
        <v>0</v>
      </c>
    </row>
    <row r="31" spans="3:16" ht="14.25" customHeight="1">
      <c r="C31" s="44" t="str">
        <f>'Vystupy V'!C33</f>
        <v>Úprava odpisů o inflaci</v>
      </c>
      <c r="D31" s="57" t="str">
        <f>'Vystupy V'!D33</f>
        <v>tis. Kč</v>
      </c>
      <c r="E31" s="219">
        <f>'Vystupy V'!E33</f>
        <v>0</v>
      </c>
      <c r="F31" s="310">
        <f>'Vystupy V'!F33</f>
        <v>0</v>
      </c>
      <c r="G31" s="19">
        <f>'Vystupy V'!G33</f>
        <v>0</v>
      </c>
      <c r="H31" s="19">
        <f>'Vystupy V'!H33</f>
        <v>0</v>
      </c>
      <c r="I31" s="19">
        <f>'Vystupy V'!I33</f>
        <v>0</v>
      </c>
      <c r="J31" s="19">
        <f>'Vystupy V'!J33</f>
        <v>0</v>
      </c>
      <c r="K31" s="19">
        <f>'Vystupy V'!K33</f>
        <v>0</v>
      </c>
      <c r="L31" s="19">
        <f>'Vystupy V'!L33</f>
        <v>0</v>
      </c>
      <c r="M31" s="19">
        <f>'Vystupy V'!M33</f>
        <v>0</v>
      </c>
      <c r="N31" s="19">
        <f>'Vystupy V'!N33</f>
        <v>0</v>
      </c>
      <c r="O31" s="19">
        <f>'Vystupy V'!O33</f>
        <v>0</v>
      </c>
      <c r="P31" s="19">
        <f>'Vystupy V'!P33</f>
        <v>0</v>
      </c>
    </row>
    <row r="32" spans="3:16" ht="14.25" customHeight="1">
      <c r="C32" s="23" t="str">
        <f>'Vystupy V'!C34</f>
        <v>Výnos z ReHoK bez Očekávání</v>
      </c>
      <c r="D32" s="23" t="str">
        <f>'Vystupy V'!D34</f>
        <v>tis. Kč</v>
      </c>
      <c r="E32" s="219">
        <f>'Vystupy V'!E34</f>
        <v>0</v>
      </c>
      <c r="F32" s="310">
        <f>'Vystupy V'!F34</f>
        <v>0</v>
      </c>
      <c r="G32" s="19">
        <f>'Vystupy V'!G34</f>
        <v>52.09941158950968</v>
      </c>
      <c r="H32" s="19">
        <f>'Vystupy V'!H34</f>
        <v>53.1143073776604</v>
      </c>
      <c r="I32" s="19">
        <f>'Vystupy V'!I34</f>
        <v>54.805800357911366</v>
      </c>
      <c r="J32" s="19">
        <f>'Vystupy V'!J34</f>
        <v>56.49729333816233</v>
      </c>
      <c r="K32" s="19">
        <f>'Vystupy V'!K34</f>
        <v>58.18878631841329</v>
      </c>
      <c r="L32" s="19">
        <f>'Vystupy V'!L34</f>
        <v>58.18878631841329</v>
      </c>
      <c r="M32" s="19">
        <f>'Vystupy V'!M34</f>
        <v>58.18878631841329</v>
      </c>
      <c r="N32" s="19">
        <f>'Vystupy V'!N34</f>
        <v>58.18878631841329</v>
      </c>
      <c r="O32" s="19">
        <f>'Vystupy V'!O34</f>
        <v>58.18878631841329</v>
      </c>
      <c r="P32" s="19">
        <f>'Vystupy V'!P34</f>
        <v>58.18878631841329</v>
      </c>
    </row>
    <row r="33" spans="3:16" ht="14.25" customHeight="1">
      <c r="C33" s="44" t="str">
        <f>'Vystupy V'!C36</f>
        <v>Návratnost Očekávání</v>
      </c>
      <c r="D33" s="57" t="str">
        <f>'Vystupy V'!D36</f>
        <v>tis. Kč</v>
      </c>
      <c r="E33" s="219">
        <f>'Vystupy V'!E36</f>
        <v>0</v>
      </c>
      <c r="F33" s="310">
        <f>'Vystupy V'!F36</f>
        <v>0</v>
      </c>
      <c r="G33" s="19">
        <f>'Vystupy V'!G36</f>
        <v>0</v>
      </c>
      <c r="H33" s="19">
        <f>'Vystupy V'!H36</f>
        <v>0</v>
      </c>
      <c r="I33" s="19">
        <f>'Vystupy V'!I36</f>
        <v>0</v>
      </c>
      <c r="J33" s="19">
        <f>'Vystupy V'!J36</f>
        <v>0</v>
      </c>
      <c r="K33" s="19">
        <f>'Vystupy V'!K36</f>
        <v>0</v>
      </c>
      <c r="L33" s="19">
        <f>'Vystupy V'!L36</f>
        <v>0</v>
      </c>
      <c r="M33" s="19">
        <f>'Vystupy V'!M36</f>
        <v>0</v>
      </c>
      <c r="N33" s="19">
        <f>'Vystupy V'!N36</f>
        <v>0</v>
      </c>
      <c r="O33" s="19">
        <f>'Vystupy V'!O36</f>
        <v>0</v>
      </c>
      <c r="P33" s="19">
        <f>'Vystupy V'!P36</f>
        <v>0</v>
      </c>
    </row>
    <row r="34" spans="3:16" ht="14.25" customHeight="1">
      <c r="C34" s="44" t="str">
        <f>'Vystupy V'!C37</f>
        <v>Výnos z Očekávání</v>
      </c>
      <c r="D34" s="57" t="str">
        <f>'Vystupy V'!D37</f>
        <v>tis. Kč</v>
      </c>
      <c r="E34" s="219">
        <f>'Vystupy V'!E37</f>
        <v>0</v>
      </c>
      <c r="F34" s="310">
        <f>'Vystupy V'!F37</f>
        <v>0</v>
      </c>
      <c r="G34" s="19">
        <f>'Vystupy V'!G37</f>
        <v>0</v>
      </c>
      <c r="H34" s="19">
        <f>'Vystupy V'!H37</f>
        <v>0</v>
      </c>
      <c r="I34" s="19">
        <f>'Vystupy V'!I37</f>
        <v>0</v>
      </c>
      <c r="J34" s="19">
        <f>'Vystupy V'!J37</f>
        <v>0</v>
      </c>
      <c r="K34" s="19">
        <f>'Vystupy V'!K37</f>
        <v>0</v>
      </c>
      <c r="L34" s="19">
        <f>'Vystupy V'!L37</f>
        <v>0</v>
      </c>
      <c r="M34" s="19">
        <f>'Vystupy V'!M37</f>
        <v>0</v>
      </c>
      <c r="N34" s="19">
        <f>'Vystupy V'!N37</f>
        <v>0</v>
      </c>
      <c r="O34" s="19">
        <f>'Vystupy V'!O37</f>
        <v>0</v>
      </c>
      <c r="P34" s="19">
        <f>'Vystupy V'!P37</f>
        <v>0</v>
      </c>
    </row>
    <row r="35" spans="3:16" ht="14.25" customHeight="1">
      <c r="C35" s="23" t="str">
        <f>'Vystupy V'!C38</f>
        <v>Daň z příjmu právnických osob</v>
      </c>
      <c r="D35" s="23" t="str">
        <f>'Vystupy V'!D38</f>
        <v>tis. Kč</v>
      </c>
      <c r="E35" s="212">
        <f>'Vystupy V'!E38</f>
        <v>0</v>
      </c>
      <c r="F35" s="311">
        <f>'Vystupy V'!F38</f>
        <v>0</v>
      </c>
      <c r="G35" s="47">
        <f>'Vystupy V'!G38</f>
        <v>14.191894786850995</v>
      </c>
      <c r="H35" s="47">
        <f>'Vystupy V'!H38</f>
        <v>14.476516883614913</v>
      </c>
      <c r="I35" s="47">
        <f>'Vystupy V'!I38</f>
        <v>14.950887044888054</v>
      </c>
      <c r="J35" s="47">
        <f>'Vystupy V'!J38</f>
        <v>15.425257206161195</v>
      </c>
      <c r="K35" s="47">
        <f>'Vystupy V'!K38</f>
        <v>15.899627367434336</v>
      </c>
      <c r="L35" s="47">
        <f>'Vystupy V'!L38</f>
        <v>15.899627367434336</v>
      </c>
      <c r="M35" s="47">
        <f>'Vystupy V'!M38</f>
        <v>15.899627367434336</v>
      </c>
      <c r="N35" s="47">
        <f>'Vystupy V'!N38</f>
        <v>15.899627367434336</v>
      </c>
      <c r="O35" s="47">
        <f>'Vystupy V'!O38</f>
        <v>15.899627367434336</v>
      </c>
      <c r="P35" s="47">
        <f>'Vystupy V'!P38</f>
        <v>15.899627367434336</v>
      </c>
    </row>
    <row r="36" spans="3:16" ht="14.25" customHeight="1">
      <c r="C36" s="59" t="str">
        <f>'Vystupy V'!C41</f>
        <v>Celkový Požadovaný příjem</v>
      </c>
      <c r="D36" s="60" t="str">
        <f>'Vystupy V'!D41</f>
        <v>tis. Kč</v>
      </c>
      <c r="E36" s="216">
        <f>'Vystupy V'!E41</f>
        <v>0</v>
      </c>
      <c r="F36" s="313">
        <f>'Vystupy V'!F48</f>
        <v>0</v>
      </c>
      <c r="G36" s="20">
        <f>'Vystupy V'!G48</f>
        <v>3505.291306376361</v>
      </c>
      <c r="H36" s="20">
        <f>'Vystupy V'!H48</f>
        <v>3575.5908242612754</v>
      </c>
      <c r="I36" s="20">
        <f>'Vystupy V'!I48</f>
        <v>3692.7566874027993</v>
      </c>
      <c r="J36" s="20">
        <f>'Vystupy V'!J48</f>
        <v>3809.9225505443237</v>
      </c>
      <c r="K36" s="20">
        <f>'Vystupy V'!K48</f>
        <v>3927.0884136858476</v>
      </c>
      <c r="L36" s="20">
        <f>'Vystupy V'!L48</f>
        <v>3927.0884136858476</v>
      </c>
      <c r="M36" s="20">
        <f>'Vystupy V'!M48</f>
        <v>3927.0884136858476</v>
      </c>
      <c r="N36" s="20">
        <f>'Vystupy V'!N48</f>
        <v>3927.0884136858476</v>
      </c>
      <c r="O36" s="20">
        <f>'Vystupy V'!O48</f>
        <v>3927.0884136858476</v>
      </c>
      <c r="P36" s="20">
        <f>'Vystupy V'!P48</f>
        <v>3927.0884136858476</v>
      </c>
    </row>
    <row r="37" spans="3:6" ht="14.25" customHeight="1">
      <c r="C37" s="179"/>
      <c r="D37" s="57"/>
      <c r="F37" s="307"/>
    </row>
    <row r="38" spans="3:16" ht="14.25" customHeight="1">
      <c r="C38" s="59" t="str">
        <f>'Vystupy V'!C43</f>
        <v>Přiměřený zisk jako % ÚVN</v>
      </c>
      <c r="D38" s="60" t="s">
        <v>67</v>
      </c>
      <c r="E38" s="367">
        <f>'Vystupy V'!E43</f>
        <v>0</v>
      </c>
      <c r="F38" s="368">
        <f>'Vystupy V'!F43</f>
        <v>0</v>
      </c>
      <c r="G38" s="369">
        <f>'Vystupy V'!G43</f>
        <v>0.0192763321827161</v>
      </c>
      <c r="H38" s="369">
        <f>'Vystupy V'!H43</f>
        <v>0.01926762379169764</v>
      </c>
      <c r="I38" s="369">
        <f>'Vystupy V'!I43</f>
        <v>0.019253846923212647</v>
      </c>
      <c r="J38" s="369">
        <f>'Vystupy V'!J43</f>
        <v>0.019240917748615177</v>
      </c>
      <c r="K38" s="369">
        <f>'Vystupy V'!K43</f>
        <v>0.019228760364870912</v>
      </c>
      <c r="L38" s="369">
        <f>'Vystupy V'!L43</f>
        <v>0.019228760364870912</v>
      </c>
      <c r="M38" s="369">
        <f>'Vystupy V'!M43</f>
        <v>0.019228760364870912</v>
      </c>
      <c r="N38" s="369">
        <f>'Vystupy V'!N43</f>
        <v>0.019228760364870912</v>
      </c>
      <c r="O38" s="369">
        <f>'Vystupy V'!O43</f>
        <v>0.019228760364870912</v>
      </c>
      <c r="P38" s="369">
        <f>'Vystupy V'!P43</f>
        <v>0.019228760364870912</v>
      </c>
    </row>
    <row r="39" spans="3:6" ht="14.25" customHeight="1">
      <c r="C39" s="179"/>
      <c r="D39" s="57"/>
      <c r="F39" s="307"/>
    </row>
    <row r="40" spans="3:16" ht="14.25" customHeight="1">
      <c r="C40" s="41" t="str">
        <f>'Vystupy V'!C56</f>
        <v>Průměrná reálná cena založená na Požadovaném příjmu</v>
      </c>
      <c r="D40" s="56" t="str">
        <f>'Vystupy V'!D56</f>
        <v>Kč/m3</v>
      </c>
      <c r="E40" s="220">
        <f>'Vystupy V'!E56</f>
        <v>0</v>
      </c>
      <c r="F40" s="318">
        <f>'Vystupy V'!F56</f>
        <v>0</v>
      </c>
      <c r="G40" s="194">
        <f>'Vystupy V'!G56</f>
        <v>27.656031009865092</v>
      </c>
      <c r="H40" s="194">
        <f>'Vystupy V'!H56</f>
        <v>27.55966413027035</v>
      </c>
      <c r="I40" s="194">
        <f>'Vystupy V'!I56</f>
        <v>27.4085703807823</v>
      </c>
      <c r="J40" s="194">
        <f>'Vystupy V'!J56</f>
        <v>27.26826904197197</v>
      </c>
      <c r="K40" s="194">
        <f>'Vystupy V'!K56</f>
        <v>27.137643657562347</v>
      </c>
      <c r="L40" s="194">
        <f>'Vystupy V'!L56</f>
        <v>27.137643657562347</v>
      </c>
      <c r="M40" s="194">
        <f>'Vystupy V'!M56</f>
        <v>27.137643657562347</v>
      </c>
      <c r="N40" s="194">
        <f>'Vystupy V'!N56</f>
        <v>27.137643657562347</v>
      </c>
      <c r="O40" s="194">
        <f>'Vystupy V'!O56</f>
        <v>27.137643657562347</v>
      </c>
      <c r="P40" s="194">
        <f>'Vystupy V'!P56</f>
        <v>27.137643657562347</v>
      </c>
    </row>
    <row r="41" spans="3:16" ht="14.25" customHeight="1">
      <c r="C41" s="266" t="str">
        <f>'Vystupy V'!C57</f>
        <v>Průměrná nomin. cena založená na Požadovaném příjmu</v>
      </c>
      <c r="D41" s="58" t="str">
        <f>'Vystupy V'!D57</f>
        <v>Kč/m3</v>
      </c>
      <c r="E41" s="221">
        <f>'Vystupy V'!E57</f>
        <v>0</v>
      </c>
      <c r="F41" s="319">
        <f>'Vystupy V'!F57</f>
        <v>0</v>
      </c>
      <c r="G41" s="196">
        <f>'Vystupy V'!G57</f>
        <v>28.292119723091986</v>
      </c>
      <c r="H41" s="196">
        <f>'Vystupy V'!H57</f>
        <v>28.757407133371892</v>
      </c>
      <c r="I41" s="196">
        <f>'Vystupy V'!I57</f>
        <v>29.171741786521714</v>
      </c>
      <c r="J41" s="196">
        <f>'Vystupy V'!J57</f>
        <v>29.602863274323322</v>
      </c>
      <c r="K41" s="196">
        <f>'Vystupy V'!K57</f>
        <v>30.050275381121516</v>
      </c>
      <c r="L41" s="196">
        <f>'Vystupy V'!L57</f>
        <v>30.651280888743948</v>
      </c>
      <c r="M41" s="196">
        <f>'Vystupy V'!M57</f>
        <v>31.264306506518828</v>
      </c>
      <c r="N41" s="196">
        <f>'Vystupy V'!N57</f>
        <v>31.889592636649205</v>
      </c>
      <c r="O41" s="196">
        <f>'Vystupy V'!O57</f>
        <v>32.52738448938219</v>
      </c>
      <c r="P41" s="196">
        <f>'Vystupy V'!P57</f>
        <v>33.17793217916984</v>
      </c>
    </row>
    <row r="42" spans="3:6" ht="14.25" customHeight="1">
      <c r="C42" s="266"/>
      <c r="D42" s="57"/>
      <c r="F42" s="307"/>
    </row>
    <row r="43" spans="3:16" ht="14.25" customHeight="1">
      <c r="C43" s="41" t="str">
        <f>'Vystupy V'!C71</f>
        <v>Průměrná reálná cena založená na Povoleném příjmu</v>
      </c>
      <c r="D43" s="56" t="str">
        <f>'Vystupy V'!D71</f>
        <v>Kč/m3</v>
      </c>
      <c r="E43" s="197"/>
      <c r="F43" s="320"/>
      <c r="G43" s="198">
        <f>'Vystupy V'!G71</f>
        <v>0</v>
      </c>
      <c r="H43" s="198">
        <f>'Vystupy V'!H71</f>
        <v>0</v>
      </c>
      <c r="I43" s="198">
        <f>'Vystupy V'!I71</f>
        <v>0</v>
      </c>
      <c r="J43" s="198">
        <f>'Vystupy V'!J71</f>
        <v>0</v>
      </c>
      <c r="K43" s="198">
        <f>'Vystupy V'!K71</f>
        <v>0</v>
      </c>
      <c r="L43" s="198">
        <f>'Vystupy V'!L71</f>
        <v>0</v>
      </c>
      <c r="M43" s="198">
        <f>'Vystupy V'!M71</f>
        <v>0</v>
      </c>
      <c r="N43" s="198">
        <f>'Vystupy V'!N71</f>
        <v>0</v>
      </c>
      <c r="O43" s="198">
        <f>'Vystupy V'!O71</f>
        <v>0</v>
      </c>
      <c r="P43" s="198">
        <f>'Vystupy V'!P71</f>
        <v>0</v>
      </c>
    </row>
    <row r="44" spans="3:16" ht="14.25" customHeight="1">
      <c r="C44" s="45" t="str">
        <f>'Vystupy V'!C72</f>
        <v>Průměrná nominální cena založená na Povoleném příjmu</v>
      </c>
      <c r="D44" s="58" t="str">
        <f>'Vystupy V'!D72</f>
        <v>Kč/m3</v>
      </c>
      <c r="E44" s="199"/>
      <c r="F44" s="321"/>
      <c r="G44" s="200">
        <f>'Vystupy V'!G72</f>
        <v>0</v>
      </c>
      <c r="H44" s="200">
        <f>'Vystupy V'!H72</f>
        <v>0</v>
      </c>
      <c r="I44" s="200">
        <f>'Vystupy V'!I72</f>
        <v>0</v>
      </c>
      <c r="J44" s="200">
        <f>'Vystupy V'!J72</f>
        <v>0</v>
      </c>
      <c r="K44" s="200">
        <f>'Vystupy V'!K72</f>
        <v>0</v>
      </c>
      <c r="L44" s="200">
        <f>'Vystupy V'!L72</f>
        <v>0</v>
      </c>
      <c r="M44" s="200">
        <f>'Vystupy V'!M72</f>
        <v>0</v>
      </c>
      <c r="N44" s="200">
        <f>'Vystupy V'!N72</f>
        <v>0</v>
      </c>
      <c r="O44" s="200">
        <f>'Vystupy V'!O72</f>
        <v>0</v>
      </c>
      <c r="P44" s="200">
        <f>'Vystupy V'!P72</f>
        <v>0</v>
      </c>
    </row>
    <row r="45" spans="3:6" ht="14.25" customHeight="1">
      <c r="C45" s="44"/>
      <c r="D45" s="57"/>
      <c r="F45" s="307"/>
    </row>
    <row r="46" spans="2:16" ht="13.5">
      <c r="B46" s="62" t="s">
        <v>8</v>
      </c>
      <c r="C46" s="62" t="str">
        <f>'Vystupy S'!C2</f>
        <v>VÝSTUPY - STOČNÉ</v>
      </c>
      <c r="D46" s="65"/>
      <c r="E46" s="63"/>
      <c r="F46" s="316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3:6" ht="14.25" customHeight="1">
      <c r="C47" s="179"/>
      <c r="D47" s="57"/>
      <c r="F47" s="317"/>
    </row>
    <row r="48" spans="3:22" ht="14.25" customHeight="1">
      <c r="C48" s="264" t="str">
        <f>C22</f>
        <v>Fyzické ukazatele</v>
      </c>
      <c r="D48" s="263"/>
      <c r="E48" s="217">
        <f>F48-1</f>
        <v>2020</v>
      </c>
      <c r="F48" s="308">
        <f>current</f>
        <v>2021</v>
      </c>
      <c r="G48" s="135">
        <f>F48+1</f>
        <v>2022</v>
      </c>
      <c r="H48" s="135">
        <f aca="true" t="shared" si="1" ref="H48:P48">G48+1</f>
        <v>2023</v>
      </c>
      <c r="I48" s="135">
        <f t="shared" si="1"/>
        <v>2024</v>
      </c>
      <c r="J48" s="135">
        <f t="shared" si="1"/>
        <v>2025</v>
      </c>
      <c r="K48" s="135">
        <f t="shared" si="1"/>
        <v>2026</v>
      </c>
      <c r="L48" s="135">
        <f t="shared" si="1"/>
        <v>2027</v>
      </c>
      <c r="M48" s="135">
        <f t="shared" si="1"/>
        <v>2028</v>
      </c>
      <c r="N48" s="135">
        <f t="shared" si="1"/>
        <v>2029</v>
      </c>
      <c r="O48" s="135">
        <f t="shared" si="1"/>
        <v>2030</v>
      </c>
      <c r="P48" s="135">
        <f t="shared" si="1"/>
        <v>2031</v>
      </c>
      <c r="Q48" s="259"/>
      <c r="R48" s="259"/>
      <c r="S48" s="259"/>
      <c r="T48" s="259"/>
      <c r="U48" s="259"/>
      <c r="V48" s="260"/>
    </row>
    <row r="49" spans="3:22" ht="14.25" customHeight="1">
      <c r="C49" s="269" t="str">
        <f>IF(CZ_EN=1,VLOOKUP("Voda odpadní odváděná - domácnosti",Slovnik,1,0),VLOOKUP("Voda odpadní odváděná - domácnosti",Slovnik,2,0))</f>
        <v>Voda odpadní odváděná - domácnosti</v>
      </c>
      <c r="D49" s="270" t="str">
        <f>D23</f>
        <v>tis. m3/rok</v>
      </c>
      <c r="E49" s="218">
        <f>'Vstupy S'!E26</f>
        <v>0</v>
      </c>
      <c r="F49" s="309">
        <f>'Vstupy S'!F26</f>
        <v>0</v>
      </c>
      <c r="G49" s="43">
        <f>'Vstupy S'!G26</f>
        <v>119</v>
      </c>
      <c r="H49" s="43">
        <f>'Vstupy S'!H26</f>
        <v>174</v>
      </c>
      <c r="I49" s="43">
        <f>'Vstupy S'!I26</f>
        <v>185</v>
      </c>
      <c r="J49" s="43">
        <f>'Vstupy S'!J26</f>
        <v>195</v>
      </c>
      <c r="K49" s="43">
        <f>'Vstupy S'!K26</f>
        <v>200</v>
      </c>
      <c r="L49" s="43">
        <f>'Vstupy S'!L26</f>
        <v>200</v>
      </c>
      <c r="M49" s="43">
        <f>'Vstupy S'!M26</f>
        <v>200</v>
      </c>
      <c r="N49" s="43">
        <f>'Vstupy S'!N26</f>
        <v>200</v>
      </c>
      <c r="O49" s="43">
        <f>'Vstupy S'!O26</f>
        <v>200</v>
      </c>
      <c r="P49" s="43">
        <f>'Vstupy S'!P26</f>
        <v>200</v>
      </c>
      <c r="Q49" s="261"/>
      <c r="R49" s="261"/>
      <c r="S49" s="261"/>
      <c r="T49" s="261"/>
      <c r="U49" s="261"/>
      <c r="V49" s="262" t="s">
        <v>452</v>
      </c>
    </row>
    <row r="50" spans="3:22" ht="14.25" customHeight="1">
      <c r="C50" s="271" t="str">
        <f>IF(CZ_EN=1,VLOOKUP("Voda odpadní odváděná - ostatní (včetně dešťové)",Slovnik,1,0),VLOOKUP("Voda odpadní odváděná - ostatní (včetně dešťové)",Slovnik,2,0))</f>
        <v>Voda odpadní odváděná - ostatní (včetně dešťové)</v>
      </c>
      <c r="D50" s="272" t="str">
        <f>D24</f>
        <v>tis. m3/rok</v>
      </c>
      <c r="E50" s="219">
        <f>'Vstupy S'!E27</f>
        <v>0</v>
      </c>
      <c r="F50" s="310">
        <f>'Vstupy S'!F27</f>
        <v>0</v>
      </c>
      <c r="G50" s="19">
        <f>'Vstupy S'!G27</f>
        <v>0</v>
      </c>
      <c r="H50" s="19">
        <f>'Vstupy S'!H27</f>
        <v>0</v>
      </c>
      <c r="I50" s="19">
        <f>'Vstupy S'!I27</f>
        <v>0</v>
      </c>
      <c r="J50" s="19">
        <f>'Vstupy S'!J27</f>
        <v>0</v>
      </c>
      <c r="K50" s="19">
        <f>'Vstupy S'!K27</f>
        <v>0</v>
      </c>
      <c r="L50" s="19">
        <f>'Vstupy S'!L27</f>
        <v>0</v>
      </c>
      <c r="M50" s="19">
        <f>'Vstupy S'!M27</f>
        <v>0</v>
      </c>
      <c r="N50" s="19">
        <f>'Vstupy S'!N27</f>
        <v>0</v>
      </c>
      <c r="O50" s="19">
        <f>'Vstupy S'!O27</f>
        <v>0</v>
      </c>
      <c r="P50" s="19">
        <f>'Vstupy S'!P27</f>
        <v>0</v>
      </c>
      <c r="Q50" s="259"/>
      <c r="R50" s="259"/>
      <c r="S50" s="259"/>
      <c r="T50" s="259"/>
      <c r="U50" s="259"/>
      <c r="V50" s="258" t="s">
        <v>452</v>
      </c>
    </row>
    <row r="51" spans="3:22" ht="14.25" customHeight="1">
      <c r="C51" s="138" t="str">
        <f>'Vstupy S'!C28</f>
        <v>Voda odpadní odváděná fakturovatelná (včetně dešťové)</v>
      </c>
      <c r="D51" s="274" t="str">
        <f>D25</f>
        <v>tis. m3/rok</v>
      </c>
      <c r="E51" s="212">
        <f>'Vstupy S'!E28</f>
        <v>0</v>
      </c>
      <c r="F51" s="311">
        <f>'Vstupy S'!F28</f>
        <v>0</v>
      </c>
      <c r="G51" s="47">
        <f>'Vstupy S'!G28</f>
        <v>119</v>
      </c>
      <c r="H51" s="47">
        <f>'Vstupy S'!H28</f>
        <v>174</v>
      </c>
      <c r="I51" s="47">
        <f>'Vstupy S'!I28</f>
        <v>185</v>
      </c>
      <c r="J51" s="47">
        <f>'Vstupy S'!J28</f>
        <v>195</v>
      </c>
      <c r="K51" s="47">
        <f>'Vstupy S'!K28</f>
        <v>200</v>
      </c>
      <c r="L51" s="47">
        <f>'Vstupy S'!L28</f>
        <v>200</v>
      </c>
      <c r="M51" s="47">
        <f>'Vstupy S'!M28</f>
        <v>200</v>
      </c>
      <c r="N51" s="47">
        <f>'Vstupy S'!N28</f>
        <v>200</v>
      </c>
      <c r="O51" s="47">
        <f>'Vstupy S'!O28</f>
        <v>200</v>
      </c>
      <c r="P51" s="47">
        <f>'Vstupy S'!P28</f>
        <v>200</v>
      </c>
      <c r="Q51" s="259"/>
      <c r="R51" s="259"/>
      <c r="S51" s="259"/>
      <c r="T51" s="259"/>
      <c r="U51" s="259"/>
      <c r="V51" s="258" t="s">
        <v>452</v>
      </c>
    </row>
    <row r="52" spans="3:6" ht="14.25" customHeight="1">
      <c r="C52" s="2"/>
      <c r="F52" s="307"/>
    </row>
    <row r="53" spans="3:6" ht="14.25" customHeight="1">
      <c r="C53" s="37" t="str">
        <f>C27</f>
        <v>Požadovaný příjem </v>
      </c>
      <c r="F53" s="307"/>
    </row>
    <row r="54" spans="3:16" ht="14.25" customHeight="1">
      <c r="C54" s="41" t="str">
        <f aca="true" t="shared" si="2" ref="C54:C62">C28</f>
        <v>Nájemné</v>
      </c>
      <c r="D54" s="56" t="str">
        <f aca="true" t="shared" si="3" ref="D54:D62">D28</f>
        <v>tis. Kč</v>
      </c>
      <c r="E54" s="218">
        <f>'Vystupy S'!E29</f>
        <v>0</v>
      </c>
      <c r="F54" s="309">
        <f>'Vystupy S'!F29</f>
        <v>0</v>
      </c>
      <c r="G54" s="43">
        <f>'Vystupy S'!G29</f>
        <v>880</v>
      </c>
      <c r="H54" s="43">
        <f>'Vystupy S'!H29</f>
        <v>880</v>
      </c>
      <c r="I54" s="43">
        <f>'Vystupy S'!I29</f>
        <v>880</v>
      </c>
      <c r="J54" s="43">
        <f>'Vystupy S'!J29</f>
        <v>880</v>
      </c>
      <c r="K54" s="43">
        <f>'Vystupy S'!K29</f>
        <v>880</v>
      </c>
      <c r="L54" s="43">
        <f>'Vystupy S'!L29</f>
        <v>880</v>
      </c>
      <c r="M54" s="43">
        <f>'Vystupy S'!M29</f>
        <v>880</v>
      </c>
      <c r="N54" s="43">
        <f>'Vystupy S'!N29</f>
        <v>880</v>
      </c>
      <c r="O54" s="43">
        <f>'Vystupy S'!O29</f>
        <v>880</v>
      </c>
      <c r="P54" s="43">
        <f>'Vystupy S'!P29</f>
        <v>880</v>
      </c>
    </row>
    <row r="55" spans="3:16" ht="14.25" customHeight="1">
      <c r="C55" s="44" t="str">
        <f t="shared" si="2"/>
        <v>Provozní náklady</v>
      </c>
      <c r="D55" s="57" t="str">
        <f t="shared" si="3"/>
        <v>tis. Kč</v>
      </c>
      <c r="E55" s="219">
        <f>'Vystupy S'!E30</f>
        <v>0</v>
      </c>
      <c r="F55" s="310">
        <f>'Vystupy S'!F30</f>
        <v>0</v>
      </c>
      <c r="G55" s="19">
        <f>'Vystupy S'!G30</f>
        <v>4150</v>
      </c>
      <c r="H55" s="19">
        <f>'Vystupy S'!H30</f>
        <v>5666</v>
      </c>
      <c r="I55" s="19">
        <f>'Vystupy S'!I30</f>
        <v>5952</v>
      </c>
      <c r="J55" s="19">
        <f>'Vystupy S'!J30</f>
        <v>6212</v>
      </c>
      <c r="K55" s="19">
        <f>'Vystupy S'!K30</f>
        <v>6342</v>
      </c>
      <c r="L55" s="19">
        <f>'Vystupy S'!L30</f>
        <v>6342</v>
      </c>
      <c r="M55" s="19">
        <f>'Vystupy S'!M30</f>
        <v>6342</v>
      </c>
      <c r="N55" s="19">
        <f>'Vystupy S'!N30</f>
        <v>6342</v>
      </c>
      <c r="O55" s="19">
        <f>'Vystupy S'!O30</f>
        <v>6342</v>
      </c>
      <c r="P55" s="19">
        <f>'Vystupy S'!P30</f>
        <v>6342</v>
      </c>
    </row>
    <row r="56" spans="3:16" ht="14.25" customHeight="1">
      <c r="C56" s="44" t="str">
        <f t="shared" si="2"/>
        <v>Odpisy - nominální</v>
      </c>
      <c r="D56" s="57" t="str">
        <f t="shared" si="3"/>
        <v>tis. Kč</v>
      </c>
      <c r="E56" s="219">
        <f>'Vystupy S'!E31</f>
        <v>0</v>
      </c>
      <c r="F56" s="310">
        <f>'Vystupy S'!F31</f>
        <v>0</v>
      </c>
      <c r="G56" s="19">
        <f>'Vystupy S'!G31</f>
        <v>0</v>
      </c>
      <c r="H56" s="19">
        <f>'Vystupy S'!H31</f>
        <v>0</v>
      </c>
      <c r="I56" s="19">
        <f>'Vystupy S'!I31</f>
        <v>0</v>
      </c>
      <c r="J56" s="19">
        <f>'Vystupy S'!J31</f>
        <v>0</v>
      </c>
      <c r="K56" s="19">
        <f>'Vystupy S'!K31</f>
        <v>0</v>
      </c>
      <c r="L56" s="19">
        <f>'Vystupy S'!L31</f>
        <v>0</v>
      </c>
      <c r="M56" s="19">
        <f>'Vystupy S'!M31</f>
        <v>0</v>
      </c>
      <c r="N56" s="19">
        <f>'Vystupy S'!N31</f>
        <v>0</v>
      </c>
      <c r="O56" s="19">
        <f>'Vystupy S'!O31</f>
        <v>0</v>
      </c>
      <c r="P56" s="19">
        <f>'Vystupy S'!P31</f>
        <v>0</v>
      </c>
    </row>
    <row r="57" spans="3:16" ht="14.25" customHeight="1">
      <c r="C57" s="44" t="str">
        <f t="shared" si="2"/>
        <v>Úprava odpisů o inflaci</v>
      </c>
      <c r="D57" s="57" t="str">
        <f t="shared" si="3"/>
        <v>tis. Kč</v>
      </c>
      <c r="E57" s="219">
        <f>'Vystupy S'!E33</f>
        <v>0</v>
      </c>
      <c r="F57" s="310">
        <f>'Vystupy S'!F33</f>
        <v>0</v>
      </c>
      <c r="G57" s="19">
        <f>'Vystupy S'!G33</f>
        <v>0</v>
      </c>
      <c r="H57" s="19">
        <f>'Vystupy S'!H33</f>
        <v>0</v>
      </c>
      <c r="I57" s="19">
        <f>'Vystupy S'!I33</f>
        <v>0</v>
      </c>
      <c r="J57" s="19">
        <f>'Vystupy S'!J33</f>
        <v>0</v>
      </c>
      <c r="K57" s="19">
        <f>'Vystupy S'!K33</f>
        <v>0</v>
      </c>
      <c r="L57" s="19">
        <f>'Vystupy S'!L33</f>
        <v>0</v>
      </c>
      <c r="M57" s="19">
        <f>'Vystupy S'!M33</f>
        <v>0</v>
      </c>
      <c r="N57" s="19">
        <f>'Vystupy S'!N33</f>
        <v>0</v>
      </c>
      <c r="O57" s="19">
        <f>'Vystupy S'!O33</f>
        <v>0</v>
      </c>
      <c r="P57" s="19">
        <f>'Vystupy S'!P33</f>
        <v>0</v>
      </c>
    </row>
    <row r="58" spans="3:16" ht="14.25" customHeight="1">
      <c r="C58" s="23" t="str">
        <f t="shared" si="2"/>
        <v>Výnos z ReHoK bez Očekávání</v>
      </c>
      <c r="D58" s="23" t="str">
        <f t="shared" si="3"/>
        <v>tis. Kč</v>
      </c>
      <c r="E58" s="219">
        <f>'Vystupy S'!E34</f>
        <v>0</v>
      </c>
      <c r="F58" s="310">
        <f>'Vystupy S'!F34</f>
        <v>0</v>
      </c>
      <c r="G58" s="19">
        <f>'Vystupy S'!G34</f>
        <v>76.56058480155077</v>
      </c>
      <c r="H58" s="19">
        <f>'Vystupy S'!H34</f>
        <v>98.85887487164166</v>
      </c>
      <c r="I58" s="19">
        <f>'Vystupy S'!I34</f>
        <v>103.06554437035285</v>
      </c>
      <c r="J58" s="19">
        <f>'Vystupy S'!J34</f>
        <v>106.88978936918114</v>
      </c>
      <c r="K58" s="19">
        <f>'Vystupy S'!K34</f>
        <v>108.80191186859565</v>
      </c>
      <c r="L58" s="19">
        <f>'Vystupy S'!L34</f>
        <v>108.80191186859565</v>
      </c>
      <c r="M58" s="19">
        <f>'Vystupy S'!M34</f>
        <v>108.80191186859565</v>
      </c>
      <c r="N58" s="19">
        <f>'Vystupy S'!N34</f>
        <v>108.80191186859565</v>
      </c>
      <c r="O58" s="19">
        <f>'Vystupy S'!O34</f>
        <v>108.80191186859565</v>
      </c>
      <c r="P58" s="19">
        <f>'Vystupy S'!P34</f>
        <v>108.80191186859565</v>
      </c>
    </row>
    <row r="59" spans="3:16" ht="14.25" customHeight="1">
      <c r="C59" s="44" t="str">
        <f t="shared" si="2"/>
        <v>Návratnost Očekávání</v>
      </c>
      <c r="D59" s="57" t="str">
        <f t="shared" si="3"/>
        <v>tis. Kč</v>
      </c>
      <c r="E59" s="219">
        <f>'Vystupy S'!E36</f>
        <v>0</v>
      </c>
      <c r="F59" s="310">
        <f>'Vystupy S'!F36</f>
        <v>0</v>
      </c>
      <c r="G59" s="19">
        <f>'Vystupy S'!G36</f>
        <v>0</v>
      </c>
      <c r="H59" s="19">
        <f>'Vystupy S'!H36</f>
        <v>0</v>
      </c>
      <c r="I59" s="19">
        <f>'Vystupy S'!I36</f>
        <v>0</v>
      </c>
      <c r="J59" s="19">
        <f>'Vystupy S'!J36</f>
        <v>0</v>
      </c>
      <c r="K59" s="19">
        <f>'Vystupy S'!K36</f>
        <v>0</v>
      </c>
      <c r="L59" s="19">
        <f>'Vystupy S'!L36</f>
        <v>0</v>
      </c>
      <c r="M59" s="19">
        <f>'Vystupy S'!M36</f>
        <v>0</v>
      </c>
      <c r="N59" s="19">
        <f>'Vystupy S'!N36</f>
        <v>0</v>
      </c>
      <c r="O59" s="19">
        <f>'Vystupy S'!O36</f>
        <v>0</v>
      </c>
      <c r="P59" s="19">
        <f>'Vystupy S'!P36</f>
        <v>0</v>
      </c>
    </row>
    <row r="60" spans="3:16" ht="14.25" customHeight="1">
      <c r="C60" s="44" t="str">
        <f t="shared" si="2"/>
        <v>Výnos z Očekávání</v>
      </c>
      <c r="D60" s="57" t="str">
        <f t="shared" si="3"/>
        <v>tis. Kč</v>
      </c>
      <c r="E60" s="219">
        <f>'Vystupy S'!E37</f>
        <v>0</v>
      </c>
      <c r="F60" s="310">
        <f>'Vystupy S'!F37</f>
        <v>0</v>
      </c>
      <c r="G60" s="19">
        <f>'Vystupy S'!G37</f>
        <v>0</v>
      </c>
      <c r="H60" s="19">
        <f>'Vystupy S'!H37</f>
        <v>0</v>
      </c>
      <c r="I60" s="19">
        <f>'Vystupy S'!I37</f>
        <v>0</v>
      </c>
      <c r="J60" s="19">
        <f>'Vystupy S'!J37</f>
        <v>0</v>
      </c>
      <c r="K60" s="19">
        <f>'Vystupy S'!K37</f>
        <v>0</v>
      </c>
      <c r="L60" s="19">
        <f>'Vystupy S'!L37</f>
        <v>0</v>
      </c>
      <c r="M60" s="19">
        <f>'Vystupy S'!M37</f>
        <v>0</v>
      </c>
      <c r="N60" s="19">
        <f>'Vystupy S'!N37</f>
        <v>0</v>
      </c>
      <c r="O60" s="19">
        <f>'Vystupy S'!O37</f>
        <v>0</v>
      </c>
      <c r="P60" s="19">
        <f>'Vystupy S'!P37</f>
        <v>0</v>
      </c>
    </row>
    <row r="61" spans="3:16" ht="14.25" customHeight="1">
      <c r="C61" s="23" t="str">
        <f t="shared" si="2"/>
        <v>Daň z příjmu právnických osob</v>
      </c>
      <c r="D61" s="23" t="str">
        <f t="shared" si="3"/>
        <v>tis. Kč</v>
      </c>
      <c r="E61" s="212">
        <f>'Vystupy S'!E38</f>
        <v>0</v>
      </c>
      <c r="F61" s="311">
        <f>'Vystupy S'!F38</f>
        <v>0</v>
      </c>
      <c r="G61" s="47">
        <f>'Vystupy S'!G38</f>
        <v>20.75901084386114</v>
      </c>
      <c r="H61" s="47">
        <f>'Vystupy S'!H38</f>
        <v>27.012447056818363</v>
      </c>
      <c r="I61" s="47">
        <f>'Vystupy S'!I38</f>
        <v>28.192185023115073</v>
      </c>
      <c r="J61" s="47">
        <f>'Vystupy S'!J38</f>
        <v>29.26467408338479</v>
      </c>
      <c r="K61" s="47">
        <f>'Vystupy S'!K38</f>
        <v>29.800918613519734</v>
      </c>
      <c r="L61" s="47">
        <f>'Vystupy S'!L38</f>
        <v>29.800918613519734</v>
      </c>
      <c r="M61" s="47">
        <f>'Vystupy S'!M38</f>
        <v>29.800918613519734</v>
      </c>
      <c r="N61" s="47">
        <f>'Vystupy S'!N38</f>
        <v>29.800918613519734</v>
      </c>
      <c r="O61" s="47">
        <f>'Vystupy S'!O38</f>
        <v>29.800918613519734</v>
      </c>
      <c r="P61" s="47">
        <f>'Vystupy S'!P38</f>
        <v>29.800918613519734</v>
      </c>
    </row>
    <row r="62" spans="3:16" ht="14.25" customHeight="1">
      <c r="C62" s="59" t="str">
        <f t="shared" si="2"/>
        <v>Celkový Požadovaný příjem</v>
      </c>
      <c r="D62" s="60" t="str">
        <f t="shared" si="3"/>
        <v>tis. Kč</v>
      </c>
      <c r="E62" s="216">
        <f>'Vystupy S'!E41</f>
        <v>0</v>
      </c>
      <c r="F62" s="313">
        <f>'Vystupy S'!F48</f>
        <v>0</v>
      </c>
      <c r="G62" s="20">
        <f>'Vystupy S'!G48</f>
        <v>5127.319595645412</v>
      </c>
      <c r="H62" s="20">
        <f>'Vystupy S'!H48</f>
        <v>6671.87132192846</v>
      </c>
      <c r="I62" s="20">
        <f>'Vystupy S'!I48</f>
        <v>6963.257729393468</v>
      </c>
      <c r="J62" s="20">
        <f>'Vystupy S'!J48</f>
        <v>7228.154463452566</v>
      </c>
      <c r="K62" s="20">
        <f>'Vystupy S'!K48</f>
        <v>7360.602830482116</v>
      </c>
      <c r="L62" s="20">
        <f>'Vystupy S'!L48</f>
        <v>7360.602830482116</v>
      </c>
      <c r="M62" s="20">
        <f>'Vystupy S'!M48</f>
        <v>7360.602830482116</v>
      </c>
      <c r="N62" s="20">
        <f>'Vystupy S'!N48</f>
        <v>7360.602830482116</v>
      </c>
      <c r="O62" s="20">
        <f>'Vystupy S'!O48</f>
        <v>7360.602830482116</v>
      </c>
      <c r="P62" s="20">
        <f>'Vystupy S'!P48</f>
        <v>7360.602830482116</v>
      </c>
    </row>
    <row r="63" spans="3:6" ht="14.25" customHeight="1">
      <c r="C63" s="179"/>
      <c r="D63" s="57"/>
      <c r="F63" s="307"/>
    </row>
    <row r="64" spans="3:16" ht="14.25" customHeight="1">
      <c r="C64" s="59" t="str">
        <f>'Vystupy S'!C43</f>
        <v>Přiměřený zisk jako % ÚVN</v>
      </c>
      <c r="D64" s="60" t="s">
        <v>67</v>
      </c>
      <c r="E64" s="367">
        <f>'Vystupy S'!E43</f>
        <v>0</v>
      </c>
      <c r="F64" s="368">
        <f>'Vystupy S'!F43</f>
        <v>0</v>
      </c>
      <c r="G64" s="369">
        <f>'Vystupy S'!G43</f>
        <v>0.019347832136264793</v>
      </c>
      <c r="H64" s="369">
        <f>'Vystupy S'!H43</f>
        <v>0.019228738455310115</v>
      </c>
      <c r="I64" s="369">
        <f>'Vystupy S'!I43</f>
        <v>0.019212196925273407</v>
      </c>
      <c r="J64" s="369">
        <f>'Vystupy S'!J43</f>
        <v>0.01919831689968499</v>
      </c>
      <c r="K64" s="369">
        <f>'Vystupy S'!K43</f>
        <v>0.01919175165911318</v>
      </c>
      <c r="L64" s="369">
        <f>'Vystupy S'!L43</f>
        <v>0.01919175165911318</v>
      </c>
      <c r="M64" s="369">
        <f>'Vystupy S'!M43</f>
        <v>0.01919175165911318</v>
      </c>
      <c r="N64" s="369">
        <f>'Vystupy S'!N43</f>
        <v>0.01919175165911318</v>
      </c>
      <c r="O64" s="369">
        <f>'Vystupy S'!O43</f>
        <v>0.01919175165911318</v>
      </c>
      <c r="P64" s="369">
        <f>'Vystupy S'!P43</f>
        <v>0.01919175165911318</v>
      </c>
    </row>
    <row r="65" spans="3:6" ht="14.25" customHeight="1">
      <c r="C65" s="179"/>
      <c r="D65" s="57"/>
      <c r="F65" s="307"/>
    </row>
    <row r="66" spans="3:16" ht="14.25" customHeight="1">
      <c r="C66" s="41" t="str">
        <f>C40</f>
        <v>Průměrná reálná cena založená na Požadovaném příjmu</v>
      </c>
      <c r="D66" s="56" t="str">
        <f>D40</f>
        <v>Kč/m3</v>
      </c>
      <c r="E66" s="220">
        <f>'Vystupy S'!E56</f>
        <v>0</v>
      </c>
      <c r="F66" s="318">
        <f>'Vystupy S'!F56</f>
        <v>0</v>
      </c>
      <c r="G66" s="194">
        <f>'Vystupy S'!G56</f>
        <v>43.17306542198188</v>
      </c>
      <c r="H66" s="194">
        <f>'Vystupy S'!H56</f>
        <v>38.420929916893904</v>
      </c>
      <c r="I66" s="194">
        <f>'Vystupy S'!I56</f>
        <v>37.71466029027497</v>
      </c>
      <c r="J66" s="194">
        <f>'Vystupy S'!J56</f>
        <v>37.141742271479195</v>
      </c>
      <c r="K66" s="194">
        <f>'Vystupy S'!K56</f>
        <v>36.87676768778615</v>
      </c>
      <c r="L66" s="194">
        <f>'Vystupy S'!L56</f>
        <v>36.87676768778615</v>
      </c>
      <c r="M66" s="194">
        <f>'Vystupy S'!M56</f>
        <v>36.87676768778615</v>
      </c>
      <c r="N66" s="194">
        <f>'Vystupy S'!N56</f>
        <v>36.87676768778615</v>
      </c>
      <c r="O66" s="194">
        <f>'Vystupy S'!O56</f>
        <v>36.87676768778615</v>
      </c>
      <c r="P66" s="194">
        <f>'Vystupy S'!P56</f>
        <v>36.87676768778615</v>
      </c>
    </row>
    <row r="67" spans="3:16" ht="14.25" customHeight="1">
      <c r="C67" s="266" t="str">
        <f>C41</f>
        <v>Průměrná nomin. cena založená na Požadovaném příjmu</v>
      </c>
      <c r="D67" s="58" t="str">
        <f>D41</f>
        <v>Kč/m3</v>
      </c>
      <c r="E67" s="221">
        <f>'Vystupy S'!E57</f>
        <v>0</v>
      </c>
      <c r="F67" s="319">
        <f>'Vystupy S'!F57</f>
        <v>0</v>
      </c>
      <c r="G67" s="196">
        <f>'Vystupy S'!G57</f>
        <v>44.16604592668746</v>
      </c>
      <c r="H67" s="196">
        <f>'Vystupy S'!H57</f>
        <v>40.090703531082106</v>
      </c>
      <c r="I67" s="196">
        <f>'Vystupy S'!I57</f>
        <v>40.140814215020114</v>
      </c>
      <c r="J67" s="196">
        <f>'Vystupy S'!J57</f>
        <v>40.32166165517782</v>
      </c>
      <c r="K67" s="196">
        <f>'Vystupy S'!K57</f>
        <v>40.83468108605706</v>
      </c>
      <c r="L67" s="196">
        <f>'Vystupy S'!L57</f>
        <v>41.6513747077782</v>
      </c>
      <c r="M67" s="196">
        <f>'Vystupy S'!M57</f>
        <v>42.48440220193377</v>
      </c>
      <c r="N67" s="196">
        <f>'Vystupy S'!N57</f>
        <v>43.33409024597245</v>
      </c>
      <c r="O67" s="196">
        <f>'Vystupy S'!O57</f>
        <v>44.2007720508919</v>
      </c>
      <c r="P67" s="196">
        <f>'Vystupy S'!P57</f>
        <v>45.084787491909736</v>
      </c>
    </row>
    <row r="68" spans="3:6" ht="14.25" customHeight="1">
      <c r="C68" s="266"/>
      <c r="D68" s="57"/>
      <c r="F68" s="307"/>
    </row>
    <row r="69" spans="3:16" ht="14.25" customHeight="1">
      <c r="C69" s="41" t="str">
        <f>C43</f>
        <v>Průměrná reálná cena založená na Povoleném příjmu</v>
      </c>
      <c r="D69" s="56" t="str">
        <f>D43</f>
        <v>Kč/m3</v>
      </c>
      <c r="E69" s="197"/>
      <c r="F69" s="320"/>
      <c r="G69" s="198">
        <f>'Vystupy S'!G71</f>
        <v>0</v>
      </c>
      <c r="H69" s="198">
        <f>'Vystupy S'!H71</f>
        <v>0</v>
      </c>
      <c r="I69" s="198">
        <f>'Vystupy S'!I71</f>
        <v>0</v>
      </c>
      <c r="J69" s="198">
        <f>'Vystupy S'!J71</f>
        <v>0</v>
      </c>
      <c r="K69" s="198">
        <f>'Vystupy S'!K71</f>
        <v>0</v>
      </c>
      <c r="L69" s="198">
        <f>'Vystupy S'!L71</f>
        <v>0</v>
      </c>
      <c r="M69" s="198">
        <f>'Vystupy S'!M71</f>
        <v>0</v>
      </c>
      <c r="N69" s="198">
        <f>'Vystupy S'!N71</f>
        <v>0</v>
      </c>
      <c r="O69" s="198">
        <f>'Vystupy S'!O71</f>
        <v>0</v>
      </c>
      <c r="P69" s="198">
        <f>'Vystupy S'!P71</f>
        <v>0</v>
      </c>
    </row>
    <row r="70" spans="3:16" ht="14.25" customHeight="1">
      <c r="C70" s="45" t="str">
        <f>C44</f>
        <v>Průměrná nominální cena založená na Povoleném příjmu</v>
      </c>
      <c r="D70" s="58" t="str">
        <f>D44</f>
        <v>Kč/m3</v>
      </c>
      <c r="E70" s="199"/>
      <c r="F70" s="321"/>
      <c r="G70" s="200">
        <f>'Vystupy S'!G72</f>
        <v>0</v>
      </c>
      <c r="H70" s="200">
        <f>'Vystupy S'!H72</f>
        <v>0</v>
      </c>
      <c r="I70" s="200">
        <f>'Vystupy S'!I72</f>
        <v>0</v>
      </c>
      <c r="J70" s="200">
        <f>'Vystupy S'!J72</f>
        <v>0</v>
      </c>
      <c r="K70" s="200">
        <f>'Vystupy S'!K72</f>
        <v>0</v>
      </c>
      <c r="L70" s="200">
        <f>'Vystupy S'!L72</f>
        <v>0</v>
      </c>
      <c r="M70" s="200">
        <f>'Vystupy S'!M72</f>
        <v>0</v>
      </c>
      <c r="N70" s="200">
        <f>'Vystupy S'!N72</f>
        <v>0</v>
      </c>
      <c r="O70" s="200">
        <f>'Vystupy S'!O72</f>
        <v>0</v>
      </c>
      <c r="P70" s="200">
        <f>'Vystupy S'!P72</f>
        <v>0</v>
      </c>
    </row>
    <row r="71" spans="3:6" ht="14.25" customHeight="1">
      <c r="C71" s="44"/>
      <c r="D71" s="57"/>
      <c r="F71" s="307"/>
    </row>
    <row r="72" spans="2:16" ht="14.25" customHeight="1">
      <c r="B72" s="62" t="s">
        <v>10</v>
      </c>
      <c r="C72" s="62" t="str">
        <f>IF(CZ_EN=1,VLOOKUP("Účet hotovosti vlastníka",Slovnik,1,0),VLOOKUP("Účet hotovosti vlastníka",Slovnik,2,0))</f>
        <v>ÚČET HOTOVOSTI VLASTNÍKA</v>
      </c>
      <c r="D72" s="65"/>
      <c r="E72" s="63"/>
      <c r="F72" s="316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3:6" ht="14.25" customHeight="1">
      <c r="C73" s="44"/>
      <c r="D73" s="57"/>
      <c r="F73" s="307"/>
    </row>
    <row r="74" spans="3:16" ht="14.25" customHeight="1">
      <c r="C74" s="154" t="str">
        <f>IF(CZ_EN=1,VLOOKUP("Příspěvek vlastníka",Slovnik,1,0),VLOOKUP("Příspěvek vlastníka",Slovnik,2,0))</f>
        <v>Příspěvek vlastníka</v>
      </c>
      <c r="D74" s="155" t="str">
        <f>D60</f>
        <v>tis. Kč</v>
      </c>
      <c r="E74" s="155"/>
      <c r="F74" s="382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</row>
    <row r="75" spans="3:16" ht="14.25" customHeight="1">
      <c r="C75" s="156" t="str">
        <f>IF(CZ_EN=1,VLOOKUP("Nájemné plus příspěvek vlastníka mínus výdaje",Slovnik,1,0),VLOOKUP("Nájemné plus příspěvek vlastníka mínus výdaje",Slovnik,2,0))</f>
        <v>Nájemné plus příspěvek vlastníka mínus výdaje</v>
      </c>
      <c r="D75" s="157" t="str">
        <f>D60</f>
        <v>tis. Kč</v>
      </c>
      <c r="E75" s="157"/>
      <c r="F75" s="311">
        <f>'Najemne V'!F26+'Najemne S'!F26+Souhrn!F74-'Najemne V'!F23-'Najemne S'!F23</f>
        <v>0</v>
      </c>
      <c r="G75" s="47">
        <f>'Najemne V'!G26+'Najemne S'!G26+Souhrn!G74-'Najemne V'!G23-'Najemne S'!G23</f>
        <v>1398</v>
      </c>
      <c r="H75" s="47">
        <f>'Najemne V'!H26+'Najemne S'!H26+Souhrn!H74-'Najemne V'!H23-'Najemne S'!H23</f>
        <v>1398</v>
      </c>
      <c r="I75" s="47">
        <f>'Najemne V'!I26+'Najemne S'!I26+Souhrn!I74-'Najemne V'!I23-'Najemne S'!I23</f>
        <v>1398</v>
      </c>
      <c r="J75" s="47">
        <f>'Najemne V'!J26+'Najemne S'!J26+Souhrn!J74-'Najemne V'!J23-'Najemne S'!J23</f>
        <v>1398</v>
      </c>
      <c r="K75" s="47">
        <f>'Najemne V'!K26+'Najemne S'!K26+Souhrn!K74-'Najemne V'!K23-'Najemne S'!K23</f>
        <v>1398</v>
      </c>
      <c r="L75" s="47">
        <f>'Najemne V'!L26+'Najemne S'!L26+Souhrn!L74-'Najemne V'!L23-'Najemne S'!L23</f>
        <v>1398</v>
      </c>
      <c r="M75" s="47">
        <f>'Najemne V'!M26+'Najemne S'!M26+Souhrn!M74-'Najemne V'!M23-'Najemne S'!M23</f>
        <v>1398</v>
      </c>
      <c r="N75" s="47">
        <f>'Najemne V'!N26+'Najemne S'!N26+Souhrn!N74-'Najemne V'!N23-'Najemne S'!N23</f>
        <v>1398</v>
      </c>
      <c r="O75" s="47">
        <f>'Najemne V'!O26+'Najemne S'!O26+Souhrn!O74-'Najemne V'!O23-'Najemne S'!O23</f>
        <v>1398</v>
      </c>
      <c r="P75" s="47">
        <f>'Najemne V'!P26+'Najemne S'!P26+Souhrn!P74-'Najemne V'!P23-'Najemne S'!P23</f>
        <v>1398</v>
      </c>
    </row>
    <row r="76" spans="3:16" ht="14.25" customHeight="1">
      <c r="C76" s="222" t="str">
        <f>IF(CZ_EN=1,VLOOKUP("Stav účtu hotovosti vlastníka ke konci roku",Slovnik,1,0),VLOOKUP("Stav účtu hotovosti vlastníka ke konci roku",Slovnik,2,0))</f>
        <v>Stav účtu hotovosti vlastníka ke konci roku</v>
      </c>
      <c r="D76" s="223" t="str">
        <f>D60</f>
        <v>tis. Kč</v>
      </c>
      <c r="E76" s="224"/>
      <c r="F76" s="313">
        <f aca="true" t="shared" si="4" ref="F76:P76">E76+F75</f>
        <v>0</v>
      </c>
      <c r="G76" s="20">
        <f t="shared" si="4"/>
        <v>1398</v>
      </c>
      <c r="H76" s="20">
        <f t="shared" si="4"/>
        <v>2796</v>
      </c>
      <c r="I76" s="20">
        <f t="shared" si="4"/>
        <v>4194</v>
      </c>
      <c r="J76" s="20">
        <f t="shared" si="4"/>
        <v>5592</v>
      </c>
      <c r="K76" s="20">
        <f t="shared" si="4"/>
        <v>6990</v>
      </c>
      <c r="L76" s="20">
        <f t="shared" si="4"/>
        <v>8388</v>
      </c>
      <c r="M76" s="20">
        <f t="shared" si="4"/>
        <v>9786</v>
      </c>
      <c r="N76" s="20">
        <f t="shared" si="4"/>
        <v>11184</v>
      </c>
      <c r="O76" s="20">
        <f t="shared" si="4"/>
        <v>12582</v>
      </c>
      <c r="P76" s="20">
        <f t="shared" si="4"/>
        <v>13980</v>
      </c>
    </row>
    <row r="77" spans="3:6" ht="14.25" customHeight="1">
      <c r="C77" s="44"/>
      <c r="D77" s="57"/>
      <c r="F77" s="307"/>
    </row>
    <row r="78" spans="2:16" ht="13.5">
      <c r="B78" s="62" t="s">
        <v>512</v>
      </c>
      <c r="C78" s="62" t="str">
        <f>IF(CZ_EN=1,VLOOKUP("Výstupy za obě složky dohromady",Slovnik,1,0),VLOOKUP("Výstupy za obě složky dohromady",Slovnik,2,0))</f>
        <v>VÝSTUPY ZA OBĚ SLOŽKY DOHROMADY</v>
      </c>
      <c r="D78" s="65"/>
      <c r="E78" s="63"/>
      <c r="F78" s="316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6:16" ht="14.25" customHeight="1">
      <c r="F79" s="381">
        <f>'Spolecne vstupy'!F1</f>
        <v>0</v>
      </c>
      <c r="G79" s="9">
        <f>'Spolecne vstupy'!G1</f>
        <v>1</v>
      </c>
      <c r="H79" s="9">
        <f>'Spolecne vstupy'!H1</f>
        <v>1</v>
      </c>
      <c r="I79" s="9">
        <f>'Spolecne vstupy'!I1</f>
        <v>1</v>
      </c>
      <c r="J79" s="9">
        <f>'Spolecne vstupy'!J1</f>
        <v>1</v>
      </c>
      <c r="K79" s="9">
        <f>'Spolecne vstupy'!K1</f>
        <v>1</v>
      </c>
      <c r="L79" s="9">
        <f>'Spolecne vstupy'!L1</f>
        <v>2</v>
      </c>
      <c r="M79" s="9">
        <f>'Spolecne vstupy'!M1</f>
        <v>2</v>
      </c>
      <c r="N79" s="9">
        <f>'Spolecne vstupy'!N1</f>
        <v>2</v>
      </c>
      <c r="O79" s="9">
        <f>'Spolecne vstupy'!O1</f>
        <v>2</v>
      </c>
      <c r="P79" s="9">
        <f>'Spolecne vstupy'!P1</f>
        <v>2</v>
      </c>
    </row>
    <row r="80" spans="4:16" ht="13.5">
      <c r="D80" s="10" t="str">
        <f>'Spolecne vstupy'!$C$17</f>
        <v>rok</v>
      </c>
      <c r="E80" s="217">
        <f>F80-1</f>
        <v>2020</v>
      </c>
      <c r="F80" s="308">
        <f>current</f>
        <v>2021</v>
      </c>
      <c r="G80" s="135">
        <f>F80+1</f>
        <v>2022</v>
      </c>
      <c r="H80" s="135">
        <f aca="true" t="shared" si="5" ref="H80:P80">G80+1</f>
        <v>2023</v>
      </c>
      <c r="I80" s="135">
        <f t="shared" si="5"/>
        <v>2024</v>
      </c>
      <c r="J80" s="135">
        <f t="shared" si="5"/>
        <v>2025</v>
      </c>
      <c r="K80" s="135">
        <f t="shared" si="5"/>
        <v>2026</v>
      </c>
      <c r="L80" s="135">
        <f t="shared" si="5"/>
        <v>2027</v>
      </c>
      <c r="M80" s="135">
        <f t="shared" si="5"/>
        <v>2028</v>
      </c>
      <c r="N80" s="135">
        <f t="shared" si="5"/>
        <v>2029</v>
      </c>
      <c r="O80" s="135">
        <f t="shared" si="5"/>
        <v>2030</v>
      </c>
      <c r="P80" s="135">
        <f t="shared" si="5"/>
        <v>2031</v>
      </c>
    </row>
    <row r="81" spans="2:16" ht="13.5">
      <c r="B81" s="18"/>
      <c r="C81" s="15" t="str">
        <f>CONCATENATE(IF(CZ_EN=1,VLOOKUP("Nájemné",Slovnik,1,0),VLOOKUP("Nájemné",Slovnik,2,0)),IF(CZ_EN=1,VLOOKUP(" celkem",Slovnik,1,0),VLOOKUP(" celkem",Slovnik,2,0)))</f>
        <v>Nájemné celkem</v>
      </c>
      <c r="D81" s="60" t="str">
        <f>'Vstupy S'!$D$6</f>
        <v>tis. Kč</v>
      </c>
      <c r="E81" s="216">
        <f>'Vystupy V'!E29+'Vystupy S'!E29</f>
        <v>0</v>
      </c>
      <c r="F81" s="313">
        <f>'Vystupy V'!F29+'Vystupy S'!F29</f>
        <v>0</v>
      </c>
      <c r="G81" s="20">
        <f>'Vystupy V'!G29+'Vystupy S'!G29</f>
        <v>1398</v>
      </c>
      <c r="H81" s="20">
        <f>'Vystupy V'!H29+'Vystupy S'!H29</f>
        <v>1398</v>
      </c>
      <c r="I81" s="20">
        <f>'Vystupy V'!I29+'Vystupy S'!I29</f>
        <v>1398</v>
      </c>
      <c r="J81" s="20">
        <f>'Vystupy V'!J29+'Vystupy S'!J29</f>
        <v>1398</v>
      </c>
      <c r="K81" s="20">
        <f>'Vystupy V'!K29+'Vystupy S'!K29</f>
        <v>1398</v>
      </c>
      <c r="L81" s="20">
        <f>'Vystupy V'!L29+'Vystupy S'!L29</f>
        <v>1398</v>
      </c>
      <c r="M81" s="20">
        <f>'Vystupy V'!M29+'Vystupy S'!M29</f>
        <v>1398</v>
      </c>
      <c r="N81" s="20">
        <f>'Vystupy V'!N29+'Vystupy S'!N29</f>
        <v>1398</v>
      </c>
      <c r="O81" s="20">
        <f>'Vystupy V'!O29+'Vystupy S'!O29</f>
        <v>1398</v>
      </c>
      <c r="P81" s="20">
        <f>'Vystupy V'!P29+'Vystupy S'!P29</f>
        <v>1398</v>
      </c>
    </row>
    <row r="82" spans="2:6" ht="13.5">
      <c r="B82" s="18"/>
      <c r="C82" s="18"/>
      <c r="F82" s="307"/>
    </row>
    <row r="83" spans="2:16" ht="13.5">
      <c r="B83" s="18"/>
      <c r="C83" s="41" t="str">
        <f>CONCATENATE(IF(CZ_EN=1,VLOOKUP("Průměrná reálná cena založená na Požadovaném příjmu",Slovnik,1,0),VLOOKUP("Průměrná reálná cena založená na Požadovaném příjmu",Slovnik,2,0)),IF(CZ_EN=1,VLOOKUP(" celkem",Slovnik,1,0),VLOOKUP(" celkem",Slovnik,2,0)))</f>
        <v>Průměrná reálná cena založená na Požadovaném příjmu celkem</v>
      </c>
      <c r="D83" s="195" t="str">
        <f>IF(CZ_EN=1,VLOOKUP("Kč/m3",Slovnik,1,0),VLOOKUP("Kč/m3",Slovnik,2,0))</f>
        <v>Kč/m3</v>
      </c>
      <c r="E83" s="220">
        <f>'Vystupy V'!E56+'Vystupy S'!E56</f>
        <v>0</v>
      </c>
      <c r="F83" s="318">
        <f>'Vystupy V'!F56+'Vystupy S'!F56</f>
        <v>0</v>
      </c>
      <c r="G83" s="194">
        <f>'Vystupy V'!G56+'Vystupy S'!G56</f>
        <v>70.82909643184698</v>
      </c>
      <c r="H83" s="194">
        <f>'Vystupy V'!H56+'Vystupy S'!H56</f>
        <v>65.98059404716426</v>
      </c>
      <c r="I83" s="194">
        <f>'Vystupy V'!I56+'Vystupy S'!I56</f>
        <v>65.12323067105727</v>
      </c>
      <c r="J83" s="194">
        <f>'Vystupy V'!J56+'Vystupy S'!J56</f>
        <v>64.41001131345116</v>
      </c>
      <c r="K83" s="194">
        <f>'Vystupy V'!K56+'Vystupy S'!K56</f>
        <v>64.01441134534849</v>
      </c>
      <c r="L83" s="194">
        <f>'Vystupy V'!L56+'Vystupy S'!L56</f>
        <v>64.01441134534849</v>
      </c>
      <c r="M83" s="194">
        <f>'Vystupy V'!M56+'Vystupy S'!M56</f>
        <v>64.01441134534849</v>
      </c>
      <c r="N83" s="194">
        <f>'Vystupy V'!N56+'Vystupy S'!N56</f>
        <v>64.01441134534849</v>
      </c>
      <c r="O83" s="194">
        <f>'Vystupy V'!O56+'Vystupy S'!O56</f>
        <v>64.01441134534849</v>
      </c>
      <c r="P83" s="194">
        <f>'Vystupy V'!P56+'Vystupy S'!P56</f>
        <v>64.01441134534849</v>
      </c>
    </row>
    <row r="84" spans="2:16" ht="13.5">
      <c r="B84" s="18"/>
      <c r="C84" s="266" t="str">
        <f>IF(CZ_EN=1,VLOOKUP("Průměrná nomin. cena založená na Požadovaném příjmu",Slovnik,1,0),VLOOKUP("Průměrná nomin. cena založená na Požadovaném příjmu",Slovnik,2,0))</f>
        <v>Průměrná nomin. cena založená na Požadovaném příjmu</v>
      </c>
      <c r="D84" s="45" t="str">
        <f>$D$83</f>
        <v>Kč/m3</v>
      </c>
      <c r="E84" s="221"/>
      <c r="F84" s="319">
        <f>F83*'Spolecne vstupy'!F19</f>
        <v>0</v>
      </c>
      <c r="G84" s="196">
        <f>G83*'Spolecne vstupy'!G19</f>
        <v>72.45816564977945</v>
      </c>
      <c r="H84" s="196">
        <f>H83*'Spolecne vstupy'!H19</f>
        <v>68.84811066445401</v>
      </c>
      <c r="I84" s="196">
        <f>I83*'Spolecne vstupy'!I19</f>
        <v>69.31255600154184</v>
      </c>
      <c r="J84" s="196">
        <f>J83*'Spolecne vstupy'!J19</f>
        <v>69.92452492950115</v>
      </c>
      <c r="K84" s="196">
        <f>K83*'Spolecne vstupy'!K19</f>
        <v>70.88495646717857</v>
      </c>
      <c r="L84" s="196">
        <f>L83*'Spolecne vstupy'!L19</f>
        <v>72.30265559652214</v>
      </c>
      <c r="M84" s="196">
        <f>M83*'Spolecne vstupy'!M19</f>
        <v>73.7487087084526</v>
      </c>
      <c r="N84" s="196">
        <f>N83*'Spolecne vstupy'!N19</f>
        <v>75.22368288262165</v>
      </c>
      <c r="O84" s="196">
        <f>O83*'Spolecne vstupy'!O19</f>
        <v>76.72815654027409</v>
      </c>
      <c r="P84" s="196">
        <f>P83*'Spolecne vstupy'!P19</f>
        <v>78.26271967107957</v>
      </c>
    </row>
    <row r="85" spans="2:6" ht="13.5">
      <c r="B85" s="18"/>
      <c r="C85" s="18"/>
      <c r="F85" s="307"/>
    </row>
    <row r="86" spans="2:16" ht="13.5">
      <c r="B86" s="18"/>
      <c r="C86" s="41" t="str">
        <f>CONCATENATE(IF(CZ_EN=1,VLOOKUP("Průměrná reálná cena založená na Povoleném příjmu",Slovnik,1,0),VLOOKUP("Průměrná reálná cena založená na Povoleném příjmu",Slovnik,2,0)),IF(CZ_EN=1,VLOOKUP(" celkem",Slovnik,1,0),VLOOKUP(" celkem",Slovnik,2,0)))</f>
        <v>Průměrná reálná cena založená na Povoleném příjmu celkem</v>
      </c>
      <c r="D86" s="41" t="str">
        <f>$D$83</f>
        <v>Kč/m3</v>
      </c>
      <c r="E86" s="197"/>
      <c r="F86" s="320"/>
      <c r="G86" s="198">
        <f>'Vystupy V'!G71+'Vystupy S'!G71</f>
        <v>0</v>
      </c>
      <c r="H86" s="198">
        <f>'Vystupy V'!H71+'Vystupy S'!H71</f>
        <v>0</v>
      </c>
      <c r="I86" s="198">
        <f>'Vystupy V'!I71+'Vystupy S'!I71</f>
        <v>0</v>
      </c>
      <c r="J86" s="198">
        <f>'Vystupy V'!J71+'Vystupy S'!J71</f>
        <v>0</v>
      </c>
      <c r="K86" s="198">
        <f>'Vystupy V'!K71+'Vystupy S'!K71</f>
        <v>0</v>
      </c>
      <c r="L86" s="198">
        <f>'Vystupy V'!L71+'Vystupy S'!L71</f>
        <v>0</v>
      </c>
      <c r="M86" s="198">
        <f>'Vystupy V'!M71+'Vystupy S'!M71</f>
        <v>0</v>
      </c>
      <c r="N86" s="198">
        <f>'Vystupy V'!N71+'Vystupy S'!N71</f>
        <v>0</v>
      </c>
      <c r="O86" s="198">
        <f>'Vystupy V'!O71+'Vystupy S'!O71</f>
        <v>0</v>
      </c>
      <c r="P86" s="198">
        <f>'Vystupy V'!P71+'Vystupy S'!P71</f>
        <v>0</v>
      </c>
    </row>
    <row r="87" spans="2:16" ht="13.5">
      <c r="B87" s="18"/>
      <c r="C87" s="45" t="str">
        <f>CONCATENATE(IF(CZ_EN=1,VLOOKUP("Průměrná nominální cena založená na Povoleném příjmu",Slovnik,1,0),VLOOKUP("Průměrná nominální cena založená na Povoleném příjmu",Slovnik,2,0)),IF(CZ_EN=1,VLOOKUP(" celkem",Slovnik,1,0),VLOOKUP(" celkem",Slovnik,2,0)))</f>
        <v>Průměrná nominální cena založená na Povoleném příjmu celkem</v>
      </c>
      <c r="D87" s="45" t="str">
        <f>$D$83</f>
        <v>Kč/m3</v>
      </c>
      <c r="E87" s="199"/>
      <c r="F87" s="321"/>
      <c r="G87" s="200">
        <f>G86*'Spolecne vstupy'!G19</f>
        <v>0</v>
      </c>
      <c r="H87" s="200">
        <f>H86*'Spolecne vstupy'!H19</f>
        <v>0</v>
      </c>
      <c r="I87" s="200">
        <f>I86*'Spolecne vstupy'!I19</f>
        <v>0</v>
      </c>
      <c r="J87" s="200">
        <f>J86*'Spolecne vstupy'!J19</f>
        <v>0</v>
      </c>
      <c r="K87" s="200">
        <f>K86*'Spolecne vstupy'!K19</f>
        <v>0</v>
      </c>
      <c r="L87" s="200">
        <f>L86*'Spolecne vstupy'!L19</f>
        <v>0</v>
      </c>
      <c r="M87" s="200">
        <f>M86*'Spolecne vstupy'!M19</f>
        <v>0</v>
      </c>
      <c r="N87" s="200">
        <f>N86*'Spolecne vstupy'!N19</f>
        <v>0</v>
      </c>
      <c r="O87" s="200">
        <f>O86*'Spolecne vstupy'!O19</f>
        <v>0</v>
      </c>
      <c r="P87" s="200">
        <f>P86*'Spolecne vstupy'!P19</f>
        <v>0</v>
      </c>
    </row>
    <row r="88" spans="4:6" ht="13.5">
      <c r="D88" s="15"/>
      <c r="F88" s="307"/>
    </row>
    <row r="89" spans="1:40" ht="13.5">
      <c r="A89" s="143" t="s">
        <v>308</v>
      </c>
      <c r="C89" s="41" t="str">
        <f>IF(CZ_EN=1,VLOOKUP("Růst v reálných příjmech domácností",Slovnik,1,0),VLOOKUP("Růst v reálných příjmech domácností",Slovnik,2,0))</f>
        <v>Růst v reálných příjmech domácností</v>
      </c>
      <c r="D89" s="356" t="s">
        <v>67</v>
      </c>
      <c r="E89" s="171"/>
      <c r="F89" s="460">
        <v>0.024</v>
      </c>
      <c r="G89" s="461">
        <v>0.024</v>
      </c>
      <c r="H89" s="461">
        <v>0.024</v>
      </c>
      <c r="I89" s="461">
        <v>0.024</v>
      </c>
      <c r="J89" s="461">
        <v>0.024</v>
      </c>
      <c r="K89" s="461">
        <v>0.024</v>
      </c>
      <c r="L89" s="461">
        <v>0.024</v>
      </c>
      <c r="M89" s="461">
        <v>0.024</v>
      </c>
      <c r="N89" s="461">
        <v>0.024</v>
      </c>
      <c r="O89" s="461">
        <v>0.024</v>
      </c>
      <c r="P89" s="461">
        <v>0.024</v>
      </c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</row>
    <row r="90" spans="3:40" ht="13.5">
      <c r="C90" s="45" t="str">
        <f>IF(CZ_EN=1,VLOOKUP("Index reálných příjmů domácností",Slovnik,1,0),VLOOKUP("Index reálných příjmů domácností",Slovnik,2,0))</f>
        <v>Index reálných příjmů domácností</v>
      </c>
      <c r="D90" s="45"/>
      <c r="E90" s="172"/>
      <c r="F90" s="322">
        <v>1</v>
      </c>
      <c r="G90" s="305">
        <f>F90*(1+G89)</f>
        <v>1.024</v>
      </c>
      <c r="H90" s="305">
        <f aca="true" t="shared" si="6" ref="H90:P90">G90*(1+H89)</f>
        <v>1.048576</v>
      </c>
      <c r="I90" s="305">
        <f t="shared" si="6"/>
        <v>1.073741824</v>
      </c>
      <c r="J90" s="305">
        <f t="shared" si="6"/>
        <v>1.0995116277760002</v>
      </c>
      <c r="K90" s="305">
        <f t="shared" si="6"/>
        <v>1.1258999068426243</v>
      </c>
      <c r="L90" s="305">
        <f t="shared" si="6"/>
        <v>1.1529215046068473</v>
      </c>
      <c r="M90" s="305">
        <f t="shared" si="6"/>
        <v>1.1805916207174116</v>
      </c>
      <c r="N90" s="305">
        <f t="shared" si="6"/>
        <v>1.2089258196146295</v>
      </c>
      <c r="O90" s="305">
        <f t="shared" si="6"/>
        <v>1.2379400392853808</v>
      </c>
      <c r="P90" s="305">
        <f t="shared" si="6"/>
        <v>1.26765060022823</v>
      </c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</row>
    <row r="91" ht="13.5">
      <c r="F91" s="307"/>
    </row>
    <row r="92" spans="3:6" ht="13.5">
      <c r="C92" s="37" t="str">
        <f>IF(CZ_EN=1,VLOOKUP("Sociální únosnost",Slovnik,1,0),VLOOKUP("Sociální únosnost",Slovnik,2,0))</f>
        <v>Sociální únosnost</v>
      </c>
      <c r="F92" s="307"/>
    </row>
    <row r="93" spans="3:16" ht="13.5">
      <c r="C93" s="269" t="str">
        <f>IF(CZ_EN=1,VLOOKUP("Roční průměrný výdaj na osobu za vodné a stočné",Slovnik,1,0),VLOOKUP("Roční průměrný výdaj na osobu za vodné a stočné",Slovnik,2,0))</f>
        <v>Roční průměrný výdaj na osobu za vodné a stočné</v>
      </c>
      <c r="D93" s="48" t="str">
        <f>IF(CZ_EN=1,VLOOKUP("Kč",Slovnik,1,0),VLOOKUP("Kč",Slovnik,2,0))</f>
        <v>Kč</v>
      </c>
      <c r="E93" s="171"/>
      <c r="F93" s="309">
        <f aca="true" t="shared" si="7" ref="F93:P93">ac*365.25/1000*(F40+F66)*(1+VAT)</f>
        <v>0</v>
      </c>
      <c r="G93" s="43">
        <f t="shared" si="7"/>
        <v>2276.5888175124255</v>
      </c>
      <c r="H93" s="43">
        <f t="shared" si="7"/>
        <v>2120.748253863954</v>
      </c>
      <c r="I93" s="43">
        <f t="shared" si="7"/>
        <v>2093.190880229123</v>
      </c>
      <c r="J93" s="43">
        <f t="shared" si="7"/>
        <v>2070.2665836369474</v>
      </c>
      <c r="K93" s="43">
        <f t="shared" si="7"/>
        <v>2057.5512094621913</v>
      </c>
      <c r="L93" s="43">
        <f t="shared" si="7"/>
        <v>2057.5512094621913</v>
      </c>
      <c r="M93" s="43">
        <f t="shared" si="7"/>
        <v>2057.5512094621913</v>
      </c>
      <c r="N93" s="43">
        <f t="shared" si="7"/>
        <v>2057.5512094621913</v>
      </c>
      <c r="O93" s="43">
        <f t="shared" si="7"/>
        <v>2057.5512094621913</v>
      </c>
      <c r="P93" s="43">
        <f t="shared" si="7"/>
        <v>2057.5512094621913</v>
      </c>
    </row>
    <row r="94" spans="3:16" ht="13.5">
      <c r="C94" s="249" t="str">
        <f>IF(CZ_EN=1,VLOOKUP("Roční průměrný čistý příjem za osobu",Slovnik,1,0),VLOOKUP("Roční průměrný čistý příjem za osobu",Slovnik,2,0))</f>
        <v>Roční průměrný čistý příjem za osobu</v>
      </c>
      <c r="D94" s="357" t="str">
        <f>D93</f>
        <v>Kč</v>
      </c>
      <c r="E94" s="172"/>
      <c r="F94" s="311">
        <f>$F$15*12*F90</f>
        <v>149737</v>
      </c>
      <c r="G94" s="47">
        <f aca="true" t="shared" si="8" ref="G94:P94">$F$15*12*G90</f>
        <v>153330.688</v>
      </c>
      <c r="H94" s="47">
        <f t="shared" si="8"/>
        <v>157010.62451199998</v>
      </c>
      <c r="I94" s="47">
        <f t="shared" si="8"/>
        <v>160778.87950028802</v>
      </c>
      <c r="J94" s="47">
        <f t="shared" si="8"/>
        <v>164637.57260829495</v>
      </c>
      <c r="K94" s="47">
        <f t="shared" si="8"/>
        <v>168588.87435089404</v>
      </c>
      <c r="L94" s="47">
        <f t="shared" si="8"/>
        <v>172635.0073353155</v>
      </c>
      <c r="M94" s="47">
        <f t="shared" si="8"/>
        <v>176778.24751136306</v>
      </c>
      <c r="N94" s="47">
        <f t="shared" si="8"/>
        <v>181020.9254516358</v>
      </c>
      <c r="O94" s="47">
        <f t="shared" si="8"/>
        <v>185365.42766247506</v>
      </c>
      <c r="P94" s="47">
        <f t="shared" si="8"/>
        <v>189814.19792637447</v>
      </c>
    </row>
    <row r="95" spans="3:16" ht="13.5">
      <c r="C95" s="267" t="str">
        <f>IF(CZ_EN=1,VLOOKUP("Podíl výdajů domácností na vodné a stočné na příjmech",Slovnik,1,0),VLOOKUP("Podíl výdajů domácností na vodné a stočné na příjmech",Slovnik,2,0))</f>
        <v>Podíl výdajů domácností na vodné a stočné na příjmech</v>
      </c>
      <c r="D95" s="275" t="s">
        <v>67</v>
      </c>
      <c r="E95" s="165"/>
      <c r="F95" s="323">
        <f>IF(F94=0,0,F93/F94)</f>
        <v>0</v>
      </c>
      <c r="G95" s="299">
        <f aca="true" t="shared" si="9" ref="G95:P95">IF(G94=0,0,G93/G94)</f>
        <v>0.014847574528018982</v>
      </c>
      <c r="H95" s="299">
        <f t="shared" si="9"/>
        <v>0.013507036612683937</v>
      </c>
      <c r="I95" s="299">
        <f t="shared" si="9"/>
        <v>0.013019066227696737</v>
      </c>
      <c r="J95" s="299">
        <f t="shared" si="9"/>
        <v>0.012574690885187655</v>
      </c>
      <c r="K95" s="299">
        <f t="shared" si="9"/>
        <v>0.012204549187389956</v>
      </c>
      <c r="L95" s="299">
        <f t="shared" si="9"/>
        <v>0.011918505065810506</v>
      </c>
      <c r="M95" s="299">
        <f t="shared" si="9"/>
        <v>0.011639165103330571</v>
      </c>
      <c r="N95" s="299">
        <f t="shared" si="9"/>
        <v>0.011366372171221259</v>
      </c>
      <c r="O95" s="299">
        <f t="shared" si="9"/>
        <v>0.011099972823458261</v>
      </c>
      <c r="P95" s="299">
        <f t="shared" si="9"/>
        <v>0.010839817210408458</v>
      </c>
    </row>
    <row r="96" ht="13.5">
      <c r="F96" s="317"/>
    </row>
    <row r="97" spans="3:22" ht="14.25">
      <c r="C97" s="264" t="str">
        <f>IF(CZ_EN=1,VLOOKUP("Sociálně unosná cena",Slovnik,1,0),VLOOKUP("Sociálně unosná cena",Slovnik,2,0))</f>
        <v>Sociálně unosná cena</v>
      </c>
      <c r="D97" s="268"/>
      <c r="E97" s="111"/>
      <c r="F97" s="324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111"/>
    </row>
    <row r="98" spans="3:22" ht="14.25">
      <c r="C98" s="269" t="str">
        <f>IF(CZ_EN=1,VLOOKUP("Cena pro vodné (ve stálých cenách, vč. DPH)",Slovnik,1,0),VLOOKUP("Cena pro vodné (ve stálých cenách, vč. DPH)",Slovnik,2,0))</f>
        <v>Cena pro vodné (ve stálých cenách, vč. DPH)</v>
      </c>
      <c r="D98" s="270" t="str">
        <f>$D$87</f>
        <v>Kč/m3</v>
      </c>
      <c r="E98" s="248"/>
      <c r="F98" s="318">
        <f aca="true" t="shared" si="10" ref="F98:P98">F40*(1+VAT)</f>
        <v>0</v>
      </c>
      <c r="G98" s="194">
        <f t="shared" si="10"/>
        <v>30.421634110851603</v>
      </c>
      <c r="H98" s="194">
        <f t="shared" si="10"/>
        <v>30.315630543297384</v>
      </c>
      <c r="I98" s="194">
        <f t="shared" si="10"/>
        <v>30.149427418860533</v>
      </c>
      <c r="J98" s="194">
        <f t="shared" si="10"/>
        <v>29.99509594616917</v>
      </c>
      <c r="K98" s="194">
        <f t="shared" si="10"/>
        <v>29.851408023318584</v>
      </c>
      <c r="L98" s="194">
        <f t="shared" si="10"/>
        <v>29.851408023318584</v>
      </c>
      <c r="M98" s="194">
        <f t="shared" si="10"/>
        <v>29.851408023318584</v>
      </c>
      <c r="N98" s="194">
        <f t="shared" si="10"/>
        <v>29.851408023318584</v>
      </c>
      <c r="O98" s="194">
        <f t="shared" si="10"/>
        <v>29.851408023318584</v>
      </c>
      <c r="P98" s="194">
        <f t="shared" si="10"/>
        <v>29.851408023318584</v>
      </c>
      <c r="Q98" s="36"/>
      <c r="R98" s="36"/>
      <c r="S98" s="36"/>
      <c r="T98" s="36"/>
      <c r="U98" s="36"/>
      <c r="V98" s="268"/>
    </row>
    <row r="99" spans="3:22" ht="14.25">
      <c r="C99" s="271" t="str">
        <f>IF(CZ_EN=1,VLOOKUP("Cena pro stočné (ve stálých cenách, vč. DPH)",Slovnik,1,0),VLOOKUP("Cena pro stočné (ve stálých cenách, vč. DPH)",Slovnik,2,0))</f>
        <v>Cena pro stočné (ve stálých cenách, vč. DPH)</v>
      </c>
      <c r="D99" s="272" t="str">
        <f>$D$87</f>
        <v>Kč/m3</v>
      </c>
      <c r="E99" s="245"/>
      <c r="F99" s="325">
        <f aca="true" t="shared" si="11" ref="F99:P99">F66*(1+VAT)</f>
        <v>0</v>
      </c>
      <c r="G99" s="276">
        <f t="shared" si="11"/>
        <v>47.49037196418007</v>
      </c>
      <c r="H99" s="276">
        <f t="shared" si="11"/>
        <v>42.263022908583295</v>
      </c>
      <c r="I99" s="276">
        <f t="shared" si="11"/>
        <v>41.48612631930247</v>
      </c>
      <c r="J99" s="276">
        <f t="shared" si="11"/>
        <v>40.85591649862712</v>
      </c>
      <c r="K99" s="276">
        <f t="shared" si="11"/>
        <v>40.564444456564765</v>
      </c>
      <c r="L99" s="276">
        <f t="shared" si="11"/>
        <v>40.564444456564765</v>
      </c>
      <c r="M99" s="276">
        <f t="shared" si="11"/>
        <v>40.564444456564765</v>
      </c>
      <c r="N99" s="276">
        <f t="shared" si="11"/>
        <v>40.564444456564765</v>
      </c>
      <c r="O99" s="276">
        <f t="shared" si="11"/>
        <v>40.564444456564765</v>
      </c>
      <c r="P99" s="276">
        <f t="shared" si="11"/>
        <v>40.564444456564765</v>
      </c>
      <c r="Q99" s="36"/>
      <c r="R99" s="36"/>
      <c r="S99" s="36"/>
      <c r="T99" s="36"/>
      <c r="U99" s="36"/>
      <c r="V99" s="268"/>
    </row>
    <row r="100" spans="3:22" ht="14.25">
      <c r="C100" s="273" t="str">
        <f>IF(CZ_EN=1,VLOOKUP("Sociálně únosná cena (stále ceny, vč. DPH)",Slovnik,1,0),VLOOKUP("Sociálně únosná cena (stále ceny, vč. DPH)",Slovnik,2,0))</f>
        <v>Sociálně únosná cena (stále ceny, vč. DPH)</v>
      </c>
      <c r="D100" s="274" t="str">
        <f>$D$87</f>
        <v>Kč/m3</v>
      </c>
      <c r="E100" s="249"/>
      <c r="F100" s="319">
        <f aca="true" t="shared" si="12" ref="F100:P100">IF(ac=0,0,F94/(ac/1000*365.25)*$H$18)</f>
        <v>102.48939082819987</v>
      </c>
      <c r="G100" s="196">
        <f t="shared" si="12"/>
        <v>104.94913620807665</v>
      </c>
      <c r="H100" s="196">
        <f t="shared" si="12"/>
        <v>107.46791547707049</v>
      </c>
      <c r="I100" s="196">
        <f t="shared" si="12"/>
        <v>110.04714544852021</v>
      </c>
      <c r="J100" s="196">
        <f t="shared" si="12"/>
        <v>112.68827693928472</v>
      </c>
      <c r="K100" s="196">
        <f t="shared" si="12"/>
        <v>115.39279558582756</v>
      </c>
      <c r="L100" s="196">
        <f t="shared" si="12"/>
        <v>118.1622226798874</v>
      </c>
      <c r="M100" s="196">
        <f t="shared" si="12"/>
        <v>120.9981160242047</v>
      </c>
      <c r="N100" s="196">
        <f t="shared" si="12"/>
        <v>123.90207080878564</v>
      </c>
      <c r="O100" s="196">
        <f t="shared" si="12"/>
        <v>126.87572050819648</v>
      </c>
      <c r="P100" s="196">
        <f t="shared" si="12"/>
        <v>129.92073780039323</v>
      </c>
      <c r="Q100" s="36"/>
      <c r="R100" s="36"/>
      <c r="S100" s="36"/>
      <c r="T100" s="36"/>
      <c r="U100" s="36"/>
      <c r="V100" s="268"/>
    </row>
    <row r="101" ht="13.5">
      <c r="F101" s="317"/>
    </row>
    <row r="102" ht="13.5"/>
    <row r="103" ht="15">
      <c r="D103" s="306" t="str">
        <f>IF(CZ_EN=1,VLOOKUP("Ceny pro vodné a stočné a sociální únosnost - stálé ceny",Slovnik,1,0),VLOOKUP("Ceny pro vodné a stočné a sociální únosnost - stálé ceny",Slovnik,2,0))</f>
        <v>Ceny pro vodné a stočné a sociální únosnost - stálé ceny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>
      <c r="D120" s="1"/>
    </row>
    <row r="121" ht="13.5">
      <c r="D121" s="1"/>
    </row>
    <row r="122" ht="13.5">
      <c r="D122" s="1"/>
    </row>
    <row r="123" ht="13.5">
      <c r="D123" s="1"/>
    </row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</sheetData>
  <sheetProtection password="97A7" sheet="1" objects="1" scenarios="1" formatColumns="0" formatRows="0"/>
  <conditionalFormatting sqref="G86:P87 G69:P70 G43:P44">
    <cfRule type="expression" priority="1" dxfId="239" stopIfTrue="1">
      <formula>G$79=1</formula>
    </cfRule>
  </conditionalFormatting>
  <conditionalFormatting sqref="G93:P95 G83:P84 G22:P25 G28:P36 G40:P41 G80:P81 G48:P51 G89:P90 G66:P67 G98:P100 G54:P62 G64:P64 G38:P38 G75:P75">
    <cfRule type="expression" priority="2" dxfId="2" stopIfTrue="1">
      <formula>G$79=1</formula>
    </cfRule>
    <cfRule type="expression" priority="3" dxfId="1" stopIfTrue="1">
      <formula>G$79=2</formula>
    </cfRule>
  </conditionalFormatting>
  <conditionalFormatting sqref="E76">
    <cfRule type="expression" priority="4" dxfId="9" stopIfTrue="1">
      <formula>E$1=1</formula>
    </cfRule>
    <cfRule type="expression" priority="5" dxfId="8" stopIfTrue="1">
      <formula>E$1=2</formula>
    </cfRule>
    <cfRule type="cellIs" priority="6" dxfId="242" operator="lessThan" stopIfTrue="1">
      <formula>0</formula>
    </cfRule>
  </conditionalFormatting>
  <conditionalFormatting sqref="F76">
    <cfRule type="cellIs" priority="7" dxfId="243" operator="lessThan" stopIfTrue="1">
      <formula>0</formula>
    </cfRule>
  </conditionalFormatting>
  <conditionalFormatting sqref="G76:P76">
    <cfRule type="expression" priority="8" dxfId="244" stopIfTrue="1">
      <formula>AND(G$79&gt;0,G$76&lt;0)</formula>
    </cfRule>
    <cfRule type="expression" priority="9" dxfId="1" stopIfTrue="1">
      <formula>G$79=2</formula>
    </cfRule>
    <cfRule type="expression" priority="10" dxfId="2" stopIfTrue="1">
      <formula>G$79=1</formula>
    </cfRule>
  </conditionalFormatting>
  <conditionalFormatting sqref="F74:P74">
    <cfRule type="expression" priority="11" dxfId="2" stopIfTrue="1">
      <formula>F$79=1</formula>
    </cfRule>
    <cfRule type="expression" priority="12" dxfId="1" stopIfTrue="1">
      <formula>F$79=2</formula>
    </cfRule>
    <cfRule type="expression" priority="13" dxfId="0" stopIfTrue="1">
      <formula>F$79=0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3" horizontalDpi="600" verticalDpi="600" orientation="landscape" paperSize="9" scale="65" r:id="rId4"/>
  <headerFooter alignWithMargins="0">
    <oddFooter>&amp;L&amp;A
&amp;F&amp;C&amp;P celkem &amp;N&amp;R&amp;T
&amp;D</oddFooter>
  </headerFooter>
  <rowBreaks count="2" manualBreakCount="2">
    <brk id="45" max="255" man="1"/>
    <brk id="101" max="255" man="1"/>
  </rowBreaks>
  <ignoredErrors>
    <ignoredError sqref="D4:D5" unlockedFormula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C1:IV6553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2" width="9.140625" style="462" customWidth="1"/>
    <col min="3" max="3" width="40.421875" style="462" customWidth="1"/>
    <col min="4" max="4" width="35.00390625" style="462" customWidth="1"/>
    <col min="5" max="8" width="9.140625" style="462" customWidth="1"/>
    <col min="9" max="16384" width="9.140625" style="462" hidden="1" customWidth="1"/>
  </cols>
  <sheetData>
    <row r="1" ht="15">
      <c r="C1" s="463">
        <v>1</v>
      </c>
    </row>
    <row r="2" spans="3:7" ht="27" customHeight="1">
      <c r="C2" s="462" t="s">
        <v>259</v>
      </c>
      <c r="D2" s="462" t="s">
        <v>272</v>
      </c>
      <c r="G2" s="464" t="s">
        <v>270</v>
      </c>
    </row>
    <row r="3" spans="3:7" ht="14.25">
      <c r="C3" s="465" t="s">
        <v>81</v>
      </c>
      <c r="D3" s="465" t="s">
        <v>80</v>
      </c>
      <c r="G3" s="466" t="str">
        <f>IF(CZ_EN=1,VLOOKUP("Přepínače",Slovnik,1,0),VLOOKUP("Přepínače",Slovnik,2,0))</f>
        <v>Přepínače</v>
      </c>
    </row>
    <row r="4" spans="3:7" ht="14.25">
      <c r="C4" s="462" t="s">
        <v>113</v>
      </c>
      <c r="D4" s="467" t="s">
        <v>4</v>
      </c>
      <c r="G4" s="468" t="s">
        <v>104</v>
      </c>
    </row>
    <row r="5" spans="3:7" ht="14.25">
      <c r="C5" s="469" t="s">
        <v>102</v>
      </c>
      <c r="D5" s="462" t="s">
        <v>63</v>
      </c>
      <c r="G5" s="470" t="s">
        <v>80</v>
      </c>
    </row>
    <row r="6" spans="3:7" ht="14.25">
      <c r="C6" s="469" t="s">
        <v>360</v>
      </c>
      <c r="D6" s="462" t="s">
        <v>361</v>
      </c>
      <c r="G6" s="470"/>
    </row>
    <row r="7" spans="3:7" ht="14.25">
      <c r="C7" s="469" t="s">
        <v>596</v>
      </c>
      <c r="D7" s="462" t="s">
        <v>597</v>
      </c>
      <c r="G7" s="470"/>
    </row>
    <row r="8" spans="3:7" ht="14.25">
      <c r="C8" s="469" t="s">
        <v>103</v>
      </c>
      <c r="D8" s="462" t="s">
        <v>68</v>
      </c>
      <c r="G8" s="470" t="s">
        <v>82</v>
      </c>
    </row>
    <row r="9" spans="3:7" ht="14.25">
      <c r="C9" s="469" t="s">
        <v>150</v>
      </c>
      <c r="D9" s="462" t="s">
        <v>151</v>
      </c>
      <c r="G9" s="470" t="str">
        <f>IF(CZ_EN=1,VLOOKUP("uskutečněných v roce",Slovnik,1,0),VLOOKUP("uskutečněných v roce",Slovnik,2,0))</f>
        <v>uskutečněných v roce</v>
      </c>
    </row>
    <row r="10" spans="3:7" ht="14.25">
      <c r="C10" s="469" t="s">
        <v>106</v>
      </c>
      <c r="D10" s="462" t="s">
        <v>0</v>
      </c>
      <c r="G10" s="470"/>
    </row>
    <row r="11" spans="3:7" ht="14.25">
      <c r="C11" s="469" t="s">
        <v>107</v>
      </c>
      <c r="D11" s="462" t="s">
        <v>105</v>
      </c>
      <c r="G11" s="470" t="str">
        <f>IF(CZ_EN=1,VLOOKUP("Žádné",Slovnik,1,0),VLOOKUP("Žádné",Slovnik,2,0))</f>
        <v>Žádné</v>
      </c>
    </row>
    <row r="12" spans="3:7" ht="14.25">
      <c r="C12" s="469" t="s">
        <v>108</v>
      </c>
      <c r="D12" s="462" t="s">
        <v>70</v>
      </c>
      <c r="G12" s="470" t="str">
        <f>IF(CZ_EN=1,VLOOKUP("Konstantní růst",Slovnik,1,0),VLOOKUP("Konstantní růst",Slovnik,2,0))</f>
        <v>Konstantní růst</v>
      </c>
    </row>
    <row r="13" spans="3:7" ht="14.25">
      <c r="C13" s="469" t="s">
        <v>109</v>
      </c>
      <c r="D13" s="462" t="s">
        <v>64</v>
      </c>
      <c r="G13" s="471"/>
    </row>
    <row r="14" spans="3:7" ht="14.25">
      <c r="C14" s="469" t="s">
        <v>110</v>
      </c>
      <c r="D14" s="462" t="s">
        <v>65</v>
      </c>
      <c r="G14" s="470"/>
    </row>
    <row r="15" spans="3:7" ht="14.25">
      <c r="C15" s="469" t="s">
        <v>111</v>
      </c>
      <c r="D15" s="462" t="s">
        <v>62</v>
      </c>
      <c r="G15" s="470" t="str">
        <f>IF(CZ_EN=1,VLOOKUP("běžné",Slovnik,1,0),VLOOKUP("běžné",Slovnik,2,0))</f>
        <v>běžné</v>
      </c>
    </row>
    <row r="16" spans="3:7" ht="14.25">
      <c r="C16" s="469" t="s">
        <v>112</v>
      </c>
      <c r="D16" s="462" t="s">
        <v>96</v>
      </c>
      <c r="G16" s="470" t="str">
        <f>IF(CZ_EN=1,VLOOKUP("anuitní",Slovnik,1,0),VLOOKUP("anuitní",Slovnik,2,0))</f>
        <v>anuitní</v>
      </c>
    </row>
    <row r="17" spans="3:7" ht="14.25">
      <c r="C17" s="469" t="s">
        <v>114</v>
      </c>
      <c r="D17" s="462" t="s">
        <v>115</v>
      </c>
      <c r="G17" s="471"/>
    </row>
    <row r="18" spans="3:7" ht="14.25">
      <c r="C18" s="469" t="s">
        <v>118</v>
      </c>
      <c r="D18" s="462" t="s">
        <v>5</v>
      </c>
      <c r="G18" s="471"/>
    </row>
    <row r="19" spans="3:7" ht="14.25">
      <c r="C19" s="469" t="s">
        <v>119</v>
      </c>
      <c r="D19" s="462" t="s">
        <v>6</v>
      </c>
      <c r="G19" s="470" t="str">
        <f>IF(CZ_EN=1,VLOOKUP("spočítaná",Slovnik,1,0),VLOOKUP("spočítaná",Slovnik,2,0))</f>
        <v>spočítaná</v>
      </c>
    </row>
    <row r="20" spans="3:7" ht="14.25">
      <c r="C20" s="469" t="s">
        <v>120</v>
      </c>
      <c r="D20" s="462" t="s">
        <v>116</v>
      </c>
      <c r="G20" s="470" t="str">
        <f>IF(CZ_EN=1,VLOOKUP("uživatelský vstup",Slovnik,1,0),VLOOKUP("uživatelský vstup",Slovnik,2,0))</f>
        <v>uživatelský vstup</v>
      </c>
    </row>
    <row r="21" spans="3:7" ht="14.25">
      <c r="C21" s="469" t="s">
        <v>124</v>
      </c>
      <c r="D21" s="462" t="s">
        <v>117</v>
      </c>
      <c r="G21" s="471"/>
    </row>
    <row r="22" spans="3:7" ht="14.25">
      <c r="C22" s="469" t="s">
        <v>121</v>
      </c>
      <c r="D22" s="462" t="s">
        <v>69</v>
      </c>
      <c r="G22" s="470" t="str">
        <f>IF(CZ_EN=1,VLOOKUP("automatickým výpočtem Modelu",Slovnik,1,0),VLOOKUP("automatickým výpočtem Modelu",Slovnik,2,0))</f>
        <v>automatickým výpočtem Modelu</v>
      </c>
    </row>
    <row r="23" spans="3:7" ht="14.25">
      <c r="C23" s="469" t="s">
        <v>123</v>
      </c>
      <c r="D23" s="462" t="s">
        <v>122</v>
      </c>
      <c r="G23" s="470" t="str">
        <f>IF(CZ_EN=1,VLOOKUP("v rámci zadání provozních nákladů uživatelem",Slovnik,1,0),VLOOKUP("v rámci zadání provozních nákladů uživatelem",Slovnik,2,0))</f>
        <v>v rámci zadání provozních nákladů uživatelem</v>
      </c>
    </row>
    <row r="24" spans="3:7" ht="14.25">
      <c r="C24" s="469" t="s">
        <v>370</v>
      </c>
      <c r="D24" s="462" t="s">
        <v>371</v>
      </c>
      <c r="G24" s="470" t="str">
        <f>IF(CZ_EN=1,VLOOKUP("v rámci zadání PN uživatelem, zvlášť pro V/S",Slovnik,1,0),VLOOKUP("v rámci zadání PN uživatelem, zvlášť pro V/S",Slovnik,2,0))</f>
        <v>v rámci zadání PN uživatelem, zvlášť pro V/S</v>
      </c>
    </row>
    <row r="25" spans="3:7" ht="14.25">
      <c r="C25" s="469" t="s">
        <v>125</v>
      </c>
      <c r="D25" s="462" t="s">
        <v>1</v>
      </c>
      <c r="G25" s="471"/>
    </row>
    <row r="26" spans="3:7" ht="14.25">
      <c r="C26" s="469" t="s">
        <v>152</v>
      </c>
      <c r="D26" s="462" t="s">
        <v>3</v>
      </c>
      <c r="G26" s="470" t="str">
        <f>CONCATENATE(" - ",IF(CZ_EN=1,VLOOKUP("bez odpisů",Slovnik,1,0),VLOOKUP("bez odpisů",Slovnik,2,0)))</f>
        <v> - bez odpisů</v>
      </c>
    </row>
    <row r="27" spans="3:7" ht="14.25">
      <c r="C27" s="469" t="s">
        <v>153</v>
      </c>
      <c r="D27" s="462" t="s">
        <v>7</v>
      </c>
      <c r="G27" s="472" t="str">
        <f>CONCATENATE(" (",IF(CZ_EN=1,VLOOKUP("včetně odpisů",Slovnik,1,0),VLOOKUP("včetně odpisů",Slovnik,2,0)),")")</f>
        <v> (včetně odpisů)</v>
      </c>
    </row>
    <row r="28" spans="3:4" ht="14.25">
      <c r="C28" s="469" t="s">
        <v>561</v>
      </c>
      <c r="D28" s="462" t="s">
        <v>58</v>
      </c>
    </row>
    <row r="29" spans="3:4" ht="14.25">
      <c r="C29" s="469" t="s">
        <v>399</v>
      </c>
      <c r="D29" s="462" t="s">
        <v>400</v>
      </c>
    </row>
    <row r="30" spans="3:4" ht="14.25">
      <c r="C30" s="469" t="s">
        <v>177</v>
      </c>
      <c r="D30" s="462" t="s">
        <v>59</v>
      </c>
    </row>
    <row r="31" spans="3:4" ht="14.25">
      <c r="C31" s="469" t="s">
        <v>181</v>
      </c>
      <c r="D31" s="462" t="s">
        <v>9</v>
      </c>
    </row>
    <row r="32" spans="3:4" ht="14.25">
      <c r="C32" s="469" t="s">
        <v>166</v>
      </c>
      <c r="D32" s="462" t="s">
        <v>71</v>
      </c>
    </row>
    <row r="33" spans="3:4" ht="14.25">
      <c r="C33" s="469" t="s">
        <v>288</v>
      </c>
      <c r="D33" s="462" t="s">
        <v>291</v>
      </c>
    </row>
    <row r="34" spans="3:4" ht="14.25">
      <c r="C34" s="469" t="s">
        <v>289</v>
      </c>
      <c r="D34" s="462" t="s">
        <v>290</v>
      </c>
    </row>
    <row r="35" spans="3:4" ht="14.25">
      <c r="C35" s="469" t="s">
        <v>287</v>
      </c>
      <c r="D35" s="462" t="s">
        <v>286</v>
      </c>
    </row>
    <row r="36" spans="3:4" ht="14.25">
      <c r="C36" s="469" t="s">
        <v>163</v>
      </c>
      <c r="D36" s="462" t="s">
        <v>73</v>
      </c>
    </row>
    <row r="37" spans="3:4" ht="14.25">
      <c r="C37" s="469" t="s">
        <v>164</v>
      </c>
      <c r="D37" s="462" t="s">
        <v>74</v>
      </c>
    </row>
    <row r="38" spans="3:4" ht="14.25">
      <c r="C38" s="469" t="s">
        <v>165</v>
      </c>
      <c r="D38" s="462" t="s">
        <v>75</v>
      </c>
    </row>
    <row r="39" spans="3:4" ht="14.25">
      <c r="C39" s="469" t="s">
        <v>154</v>
      </c>
      <c r="D39" s="462" t="s">
        <v>72</v>
      </c>
    </row>
    <row r="40" spans="3:4" ht="14.25">
      <c r="C40" s="469" t="s">
        <v>155</v>
      </c>
      <c r="D40" s="462" t="s">
        <v>76</v>
      </c>
    </row>
    <row r="41" spans="3:4" ht="14.25">
      <c r="C41" s="469" t="s">
        <v>167</v>
      </c>
      <c r="D41" s="462" t="s">
        <v>78</v>
      </c>
    </row>
    <row r="42" spans="3:4" ht="14.25">
      <c r="C42" s="469" t="s">
        <v>168</v>
      </c>
      <c r="D42" s="462" t="s">
        <v>79</v>
      </c>
    </row>
    <row r="43" spans="3:4" ht="14.25">
      <c r="C43" s="469" t="s">
        <v>304</v>
      </c>
      <c r="D43" s="462" t="s">
        <v>305</v>
      </c>
    </row>
    <row r="44" spans="3:4" ht="14.25">
      <c r="C44" s="469" t="s">
        <v>156</v>
      </c>
      <c r="D44" s="462" t="s">
        <v>77</v>
      </c>
    </row>
    <row r="45" spans="3:4" ht="14.25">
      <c r="C45" s="469" t="s">
        <v>292</v>
      </c>
      <c r="D45" s="462" t="s">
        <v>293</v>
      </c>
    </row>
    <row r="46" spans="3:4" ht="14.25">
      <c r="C46" s="469" t="s">
        <v>294</v>
      </c>
      <c r="D46" s="462" t="s">
        <v>303</v>
      </c>
    </row>
    <row r="47" spans="3:4" ht="14.25">
      <c r="C47" s="469" t="s">
        <v>299</v>
      </c>
      <c r="D47" s="462" t="s">
        <v>300</v>
      </c>
    </row>
    <row r="48" spans="3:4" ht="14.25">
      <c r="C48" s="469" t="s">
        <v>157</v>
      </c>
      <c r="D48" s="462" t="s">
        <v>97</v>
      </c>
    </row>
    <row r="49" spans="3:4" ht="14.25">
      <c r="C49" s="469" t="s">
        <v>182</v>
      </c>
      <c r="D49" s="462" t="s">
        <v>11</v>
      </c>
    </row>
    <row r="50" spans="3:4" ht="14.25">
      <c r="C50" s="469" t="s">
        <v>160</v>
      </c>
      <c r="D50" s="462" t="s">
        <v>12</v>
      </c>
    </row>
    <row r="51" spans="3:4" ht="14.25">
      <c r="C51" s="469" t="s">
        <v>145</v>
      </c>
      <c r="D51" s="462" t="s">
        <v>13</v>
      </c>
    </row>
    <row r="52" spans="3:4" ht="14.25">
      <c r="C52" s="469" t="s">
        <v>144</v>
      </c>
      <c r="D52" s="462" t="s">
        <v>14</v>
      </c>
    </row>
    <row r="53" spans="3:4" ht="14.25">
      <c r="C53" s="469" t="s">
        <v>262</v>
      </c>
      <c r="D53" s="462" t="s">
        <v>263</v>
      </c>
    </row>
    <row r="54" spans="3:4" ht="14.25">
      <c r="C54" s="469" t="s">
        <v>161</v>
      </c>
      <c r="D54" s="462" t="s">
        <v>16</v>
      </c>
    </row>
    <row r="55" spans="3:4" ht="14.25">
      <c r="C55" s="469" t="s">
        <v>162</v>
      </c>
      <c r="D55" s="462" t="s">
        <v>17</v>
      </c>
    </row>
    <row r="56" spans="3:4" ht="14.25">
      <c r="C56" s="469" t="s">
        <v>264</v>
      </c>
      <c r="D56" s="462" t="s">
        <v>265</v>
      </c>
    </row>
    <row r="57" spans="3:4" ht="14.25">
      <c r="C57" s="469" t="s">
        <v>158</v>
      </c>
      <c r="D57" s="462" t="s">
        <v>18</v>
      </c>
    </row>
    <row r="58" spans="3:4" ht="14.25">
      <c r="C58" s="469" t="s">
        <v>159</v>
      </c>
      <c r="D58" s="462" t="s">
        <v>19</v>
      </c>
    </row>
    <row r="59" spans="3:4" ht="14.25">
      <c r="C59" s="469" t="s">
        <v>170</v>
      </c>
      <c r="D59" s="462" t="s">
        <v>171</v>
      </c>
    </row>
    <row r="60" spans="3:4" ht="14.25">
      <c r="C60" s="469" t="s">
        <v>306</v>
      </c>
      <c r="D60" s="462" t="s">
        <v>307</v>
      </c>
    </row>
    <row r="61" spans="3:4" ht="14.25">
      <c r="C61" s="469" t="s">
        <v>149</v>
      </c>
      <c r="D61" s="462" t="s">
        <v>66</v>
      </c>
    </row>
    <row r="62" spans="3:4" ht="14.25">
      <c r="C62" s="469" t="s">
        <v>146</v>
      </c>
      <c r="D62" s="462" t="s">
        <v>20</v>
      </c>
    </row>
    <row r="63" spans="3:4" ht="14.25">
      <c r="C63" s="469" t="s">
        <v>143</v>
      </c>
      <c r="D63" s="462" t="s">
        <v>21</v>
      </c>
    </row>
    <row r="64" spans="3:4" ht="14.25">
      <c r="C64" s="469" t="s">
        <v>147</v>
      </c>
      <c r="D64" s="462" t="s">
        <v>595</v>
      </c>
    </row>
    <row r="65" spans="3:4" ht="14.25">
      <c r="C65" s="469" t="s">
        <v>148</v>
      </c>
      <c r="D65" s="462" t="s">
        <v>92</v>
      </c>
    </row>
    <row r="66" spans="3:4" ht="14.25">
      <c r="C66" s="469" t="s">
        <v>142</v>
      </c>
      <c r="D66" s="462" t="s">
        <v>22</v>
      </c>
    </row>
    <row r="67" spans="3:4" ht="14.25">
      <c r="C67" s="469" t="s">
        <v>126</v>
      </c>
      <c r="D67" s="462" t="s">
        <v>23</v>
      </c>
    </row>
    <row r="68" spans="3:4" ht="14.25">
      <c r="C68" s="469" t="s">
        <v>127</v>
      </c>
      <c r="D68" s="462" t="s">
        <v>24</v>
      </c>
    </row>
    <row r="69" spans="3:4" ht="14.25">
      <c r="C69" s="469" t="s">
        <v>128</v>
      </c>
      <c r="D69" s="462" t="s">
        <v>25</v>
      </c>
    </row>
    <row r="70" spans="3:4" ht="14.25">
      <c r="C70" s="469" t="s">
        <v>129</v>
      </c>
      <c r="D70" s="462" t="s">
        <v>26</v>
      </c>
    </row>
    <row r="71" spans="3:4" ht="14.25">
      <c r="C71" s="469" t="s">
        <v>130</v>
      </c>
      <c r="D71" s="462" t="s">
        <v>27</v>
      </c>
    </row>
    <row r="72" spans="3:4" ht="14.25">
      <c r="C72" s="469" t="s">
        <v>131</v>
      </c>
      <c r="D72" s="462" t="s">
        <v>28</v>
      </c>
    </row>
    <row r="73" spans="3:4" ht="14.25">
      <c r="C73" s="469" t="s">
        <v>132</v>
      </c>
      <c r="D73" s="462" t="s">
        <v>29</v>
      </c>
    </row>
    <row r="74" spans="3:4" ht="14.25">
      <c r="C74" s="469" t="s">
        <v>624</v>
      </c>
      <c r="D74" s="462" t="s">
        <v>30</v>
      </c>
    </row>
    <row r="75" spans="3:4" ht="14.25">
      <c r="C75" s="469" t="s">
        <v>133</v>
      </c>
      <c r="D75" s="462" t="s">
        <v>31</v>
      </c>
    </row>
    <row r="76" spans="3:4" ht="14.25">
      <c r="C76" s="469" t="s">
        <v>134</v>
      </c>
      <c r="D76" s="462" t="s">
        <v>32</v>
      </c>
    </row>
    <row r="77" spans="3:4" ht="14.25">
      <c r="C77" s="469" t="s">
        <v>135</v>
      </c>
      <c r="D77" s="462" t="s">
        <v>33</v>
      </c>
    </row>
    <row r="78" spans="3:4" ht="14.25">
      <c r="C78" s="469" t="s">
        <v>136</v>
      </c>
      <c r="D78" s="462" t="s">
        <v>34</v>
      </c>
    </row>
    <row r="79" spans="3:4" ht="14.25">
      <c r="C79" s="469" t="s">
        <v>622</v>
      </c>
      <c r="D79" s="462" t="s">
        <v>623</v>
      </c>
    </row>
    <row r="80" spans="3:4" ht="14.25">
      <c r="C80" s="469" t="s">
        <v>137</v>
      </c>
      <c r="D80" s="462" t="s">
        <v>35</v>
      </c>
    </row>
    <row r="81" spans="3:4" ht="14.25">
      <c r="C81" s="469" t="s">
        <v>138</v>
      </c>
      <c r="D81" s="462" t="s">
        <v>36</v>
      </c>
    </row>
    <row r="82" spans="3:4" ht="14.25">
      <c r="C82" s="469" t="s">
        <v>625</v>
      </c>
      <c r="D82" s="462" t="s">
        <v>626</v>
      </c>
    </row>
    <row r="83" spans="3:4" ht="14.25">
      <c r="C83" s="469" t="s">
        <v>627</v>
      </c>
      <c r="D83" s="462" t="s">
        <v>629</v>
      </c>
    </row>
    <row r="84" spans="3:4" ht="14.25">
      <c r="C84" s="469" t="s">
        <v>628</v>
      </c>
      <c r="D84" s="462" t="s">
        <v>630</v>
      </c>
    </row>
    <row r="85" spans="3:4" ht="14.25">
      <c r="C85" s="469" t="s">
        <v>631</v>
      </c>
      <c r="D85" s="462" t="s">
        <v>634</v>
      </c>
    </row>
    <row r="86" spans="3:4" ht="14.25">
      <c r="C86" s="469" t="s">
        <v>632</v>
      </c>
      <c r="D86" s="462" t="s">
        <v>635</v>
      </c>
    </row>
    <row r="87" spans="3:4" ht="14.25">
      <c r="C87" s="469" t="s">
        <v>523</v>
      </c>
      <c r="D87" s="462" t="s">
        <v>560</v>
      </c>
    </row>
    <row r="88" spans="3:4" ht="14.25">
      <c r="C88" s="469" t="s">
        <v>633</v>
      </c>
      <c r="D88" s="462" t="s">
        <v>636</v>
      </c>
    </row>
    <row r="89" spans="3:4" ht="14.25">
      <c r="C89" s="469" t="s">
        <v>140</v>
      </c>
      <c r="D89" s="462" t="s">
        <v>38</v>
      </c>
    </row>
    <row r="90" spans="3:4" ht="14.25">
      <c r="C90" s="469" t="s">
        <v>139</v>
      </c>
      <c r="D90" s="462" t="s">
        <v>37</v>
      </c>
    </row>
    <row r="91" spans="3:4" ht="14.25">
      <c r="C91" s="469" t="s">
        <v>141</v>
      </c>
      <c r="D91" s="462" t="s">
        <v>39</v>
      </c>
    </row>
    <row r="92" spans="3:5" ht="14.25">
      <c r="C92" s="469" t="s">
        <v>178</v>
      </c>
      <c r="D92" s="473" t="s">
        <v>60</v>
      </c>
      <c r="E92" s="473"/>
    </row>
    <row r="93" spans="3:5" ht="14.25">
      <c r="C93" s="469" t="s">
        <v>179</v>
      </c>
      <c r="D93" s="473" t="s">
        <v>88</v>
      </c>
      <c r="E93" s="473"/>
    </row>
    <row r="94" spans="3:5" ht="14.25">
      <c r="C94" s="469" t="s">
        <v>180</v>
      </c>
      <c r="D94" s="473" t="s">
        <v>89</v>
      </c>
      <c r="E94" s="473"/>
    </row>
    <row r="95" spans="3:4" ht="14.25">
      <c r="C95" s="469" t="s">
        <v>183</v>
      </c>
      <c r="D95" s="462" t="s">
        <v>396</v>
      </c>
    </row>
    <row r="96" spans="3:4" ht="14.25">
      <c r="C96" s="469" t="s">
        <v>184</v>
      </c>
      <c r="D96" s="462" t="s">
        <v>91</v>
      </c>
    </row>
    <row r="97" spans="3:4" ht="14.25">
      <c r="C97" s="469" t="s">
        <v>185</v>
      </c>
      <c r="D97" s="462" t="s">
        <v>15</v>
      </c>
    </row>
    <row r="98" spans="3:4" ht="14.25">
      <c r="C98" s="469" t="s">
        <v>186</v>
      </c>
      <c r="D98" s="462" t="s">
        <v>169</v>
      </c>
    </row>
    <row r="99" spans="3:4" ht="14.25">
      <c r="C99" s="469" t="s">
        <v>187</v>
      </c>
      <c r="D99" s="462" t="s">
        <v>93</v>
      </c>
    </row>
    <row r="100" spans="3:4" ht="14.25">
      <c r="C100" s="469" t="s">
        <v>209</v>
      </c>
      <c r="D100" s="462" t="s">
        <v>40</v>
      </c>
    </row>
    <row r="101" spans="3:4" ht="14.25">
      <c r="C101" s="469" t="s">
        <v>191</v>
      </c>
      <c r="D101" s="462" t="s">
        <v>41</v>
      </c>
    </row>
    <row r="102" spans="3:4" ht="14.25">
      <c r="C102" s="469" t="s">
        <v>192</v>
      </c>
      <c r="D102" s="462" t="s">
        <v>45</v>
      </c>
    </row>
    <row r="103" spans="3:4" ht="14.25">
      <c r="C103" s="469" t="s">
        <v>193</v>
      </c>
      <c r="D103" s="462" t="s">
        <v>44</v>
      </c>
    </row>
    <row r="104" spans="3:4" ht="14.25">
      <c r="C104" s="469" t="s">
        <v>194</v>
      </c>
      <c r="D104" s="462" t="s">
        <v>47</v>
      </c>
    </row>
    <row r="105" spans="3:4" ht="14.25">
      <c r="C105" s="469" t="s">
        <v>195</v>
      </c>
      <c r="D105" s="462" t="s">
        <v>50</v>
      </c>
    </row>
    <row r="106" spans="3:4" ht="14.25">
      <c r="C106" s="469" t="s">
        <v>196</v>
      </c>
      <c r="D106" s="462" t="s">
        <v>51</v>
      </c>
    </row>
    <row r="107" spans="3:4" ht="14.25">
      <c r="C107" s="469" t="s">
        <v>197</v>
      </c>
      <c r="D107" s="462" t="s">
        <v>52</v>
      </c>
    </row>
    <row r="108" spans="3:4" ht="14.25">
      <c r="C108" s="469" t="s">
        <v>198</v>
      </c>
      <c r="D108" s="462" t="s">
        <v>53</v>
      </c>
    </row>
    <row r="109" spans="3:4" ht="14.25">
      <c r="C109" s="469" t="s">
        <v>605</v>
      </c>
      <c r="D109" s="462" t="s">
        <v>604</v>
      </c>
    </row>
    <row r="110" spans="3:4" ht="14.25">
      <c r="C110" s="469" t="s">
        <v>199</v>
      </c>
      <c r="D110" s="462" t="s">
        <v>56</v>
      </c>
    </row>
    <row r="111" spans="3:4" ht="14.25">
      <c r="C111" s="469" t="s">
        <v>200</v>
      </c>
      <c r="D111" s="462" t="s">
        <v>175</v>
      </c>
    </row>
    <row r="112" spans="3:4" ht="14.25">
      <c r="C112" s="469" t="s">
        <v>201</v>
      </c>
      <c r="D112" s="462" t="s">
        <v>174</v>
      </c>
    </row>
    <row r="113" spans="3:4" ht="14.25">
      <c r="C113" s="469" t="s">
        <v>202</v>
      </c>
      <c r="D113" s="462" t="s">
        <v>176</v>
      </c>
    </row>
    <row r="114" spans="3:4" ht="14.25">
      <c r="C114" s="469" t="s">
        <v>203</v>
      </c>
      <c r="D114" s="462" t="s">
        <v>57</v>
      </c>
    </row>
    <row r="115" spans="3:4" ht="14.25">
      <c r="C115" s="469" t="s">
        <v>205</v>
      </c>
      <c r="D115" s="462" t="s">
        <v>188</v>
      </c>
    </row>
    <row r="116" spans="3:4" ht="14.25">
      <c r="C116" s="469" t="s">
        <v>210</v>
      </c>
      <c r="D116" s="462" t="s">
        <v>189</v>
      </c>
    </row>
    <row r="117" spans="3:4" ht="14.25">
      <c r="C117" s="469" t="s">
        <v>206</v>
      </c>
      <c r="D117" s="462" t="s">
        <v>61</v>
      </c>
    </row>
    <row r="118" spans="3:4" ht="14.25">
      <c r="C118" s="469" t="s">
        <v>207</v>
      </c>
      <c r="D118" s="462" t="s">
        <v>190</v>
      </c>
    </row>
    <row r="119" spans="3:4" ht="14.25">
      <c r="C119" s="469" t="s">
        <v>208</v>
      </c>
      <c r="D119" s="462" t="s">
        <v>211</v>
      </c>
    </row>
    <row r="120" spans="3:4" ht="14.25">
      <c r="C120" s="469" t="s">
        <v>204</v>
      </c>
      <c r="D120" s="462" t="s">
        <v>94</v>
      </c>
    </row>
    <row r="121" spans="3:4" ht="14.25">
      <c r="C121" s="469" t="s">
        <v>212</v>
      </c>
      <c r="D121" s="462" t="s">
        <v>83</v>
      </c>
    </row>
    <row r="122" spans="3:4" ht="14.25">
      <c r="C122" s="469" t="s">
        <v>213</v>
      </c>
      <c r="D122" s="462" t="s">
        <v>557</v>
      </c>
    </row>
    <row r="123" spans="3:4" ht="14.25">
      <c r="C123" s="469" t="s">
        <v>214</v>
      </c>
      <c r="D123" s="462" t="s">
        <v>284</v>
      </c>
    </row>
    <row r="124" spans="3:4" ht="14.25">
      <c r="C124" s="469" t="s">
        <v>215</v>
      </c>
      <c r="D124" s="462" t="s">
        <v>285</v>
      </c>
    </row>
    <row r="125" spans="3:4" ht="14.25">
      <c r="C125" s="469" t="s">
        <v>216</v>
      </c>
      <c r="D125" s="462" t="s">
        <v>301</v>
      </c>
    </row>
    <row r="126" spans="3:4" ht="14.25">
      <c r="C126" s="469" t="s">
        <v>217</v>
      </c>
      <c r="D126" s="462" t="s">
        <v>84</v>
      </c>
    </row>
    <row r="127" spans="3:4" ht="14.25">
      <c r="C127" s="469" t="s">
        <v>219</v>
      </c>
      <c r="D127" s="462" t="s">
        <v>218</v>
      </c>
    </row>
    <row r="128" spans="3:4" ht="14.25">
      <c r="C128" s="469" t="s">
        <v>221</v>
      </c>
      <c r="D128" s="462" t="s">
        <v>220</v>
      </c>
    </row>
    <row r="129" spans="3:4" ht="14.25">
      <c r="C129" s="469" t="s">
        <v>222</v>
      </c>
      <c r="D129" s="462" t="s">
        <v>85</v>
      </c>
    </row>
    <row r="130" spans="3:4" ht="14.25">
      <c r="C130" s="469" t="s">
        <v>223</v>
      </c>
      <c r="D130" s="462" t="s">
        <v>86</v>
      </c>
    </row>
    <row r="131" spans="3:4" ht="14.25">
      <c r="C131" s="469" t="s">
        <v>386</v>
      </c>
      <c r="D131" s="462" t="s">
        <v>387</v>
      </c>
    </row>
    <row r="132" spans="3:4" ht="14.25">
      <c r="C132" s="469" t="s">
        <v>295</v>
      </c>
      <c r="D132" s="462" t="s">
        <v>296</v>
      </c>
    </row>
    <row r="133" spans="3:4" ht="14.25">
      <c r="C133" s="469" t="s">
        <v>297</v>
      </c>
      <c r="D133" s="462" t="s">
        <v>298</v>
      </c>
    </row>
    <row r="134" spans="3:4" ht="14.25">
      <c r="C134" s="469" t="s">
        <v>224</v>
      </c>
      <c r="D134" s="462" t="s">
        <v>302</v>
      </c>
    </row>
    <row r="135" spans="3:4" ht="14.25">
      <c r="C135" s="469" t="s">
        <v>225</v>
      </c>
      <c r="D135" s="462" t="s">
        <v>90</v>
      </c>
    </row>
    <row r="136" spans="3:4" ht="14.25">
      <c r="C136" s="469" t="s">
        <v>273</v>
      </c>
      <c r="D136" s="462" t="s">
        <v>274</v>
      </c>
    </row>
    <row r="137" spans="3:4" ht="14.25">
      <c r="C137" s="469" t="s">
        <v>276</v>
      </c>
      <c r="D137" s="462" t="s">
        <v>275</v>
      </c>
    </row>
    <row r="138" spans="3:4" ht="14.25">
      <c r="C138" s="469" t="s">
        <v>277</v>
      </c>
      <c r="D138" s="462" t="s">
        <v>401</v>
      </c>
    </row>
    <row r="139" spans="3:4" ht="14.25">
      <c r="C139" s="469" t="s">
        <v>260</v>
      </c>
      <c r="D139" s="474" t="s">
        <v>261</v>
      </c>
    </row>
    <row r="140" spans="3:4" ht="14.25">
      <c r="C140" s="469" t="s">
        <v>266</v>
      </c>
      <c r="D140" s="473" t="s">
        <v>95</v>
      </c>
    </row>
    <row r="141" spans="3:4" ht="14.25">
      <c r="C141" s="469" t="s">
        <v>267</v>
      </c>
      <c r="D141" s="473" t="s">
        <v>98</v>
      </c>
    </row>
    <row r="142" spans="3:4" ht="14.25">
      <c r="C142" s="469" t="s">
        <v>570</v>
      </c>
      <c r="D142" s="473" t="s">
        <v>99</v>
      </c>
    </row>
    <row r="143" spans="3:4" ht="14.25">
      <c r="C143" s="469" t="s">
        <v>562</v>
      </c>
      <c r="D143" s="473" t="s">
        <v>100</v>
      </c>
    </row>
    <row r="144" spans="3:4" ht="14.25">
      <c r="C144" s="469" t="s">
        <v>563</v>
      </c>
      <c r="D144" s="473" t="s">
        <v>101</v>
      </c>
    </row>
    <row r="145" spans="3:4" ht="14.25">
      <c r="C145" s="469" t="s">
        <v>269</v>
      </c>
      <c r="D145" s="473" t="s">
        <v>270</v>
      </c>
    </row>
    <row r="146" spans="3:4" ht="14.25">
      <c r="C146" s="469" t="s">
        <v>278</v>
      </c>
      <c r="D146" s="462" t="s">
        <v>281</v>
      </c>
    </row>
    <row r="147" spans="3:4" ht="14.25">
      <c r="C147" s="469" t="s">
        <v>279</v>
      </c>
      <c r="D147" s="474" t="s">
        <v>282</v>
      </c>
    </row>
    <row r="148" spans="3:8" ht="14.25">
      <c r="C148" s="469" t="s">
        <v>280</v>
      </c>
      <c r="D148" s="462" t="s">
        <v>283</v>
      </c>
      <c r="G148" s="473"/>
      <c r="H148" s="473"/>
    </row>
    <row r="149" spans="3:4" s="475" customFormat="1" ht="14.25">
      <c r="C149" s="476" t="s">
        <v>311</v>
      </c>
      <c r="D149" s="477" t="s">
        <v>312</v>
      </c>
    </row>
    <row r="150" spans="3:4" s="475" customFormat="1" ht="14.25">
      <c r="C150" s="476" t="s">
        <v>354</v>
      </c>
      <c r="D150" s="477" t="s">
        <v>356</v>
      </c>
    </row>
    <row r="151" spans="3:4" s="475" customFormat="1" ht="14.25">
      <c r="C151" s="476" t="s">
        <v>355</v>
      </c>
      <c r="D151" s="477" t="s">
        <v>357</v>
      </c>
    </row>
    <row r="152" spans="3:4" s="475" customFormat="1" ht="14.25">
      <c r="C152" s="476" t="s">
        <v>313</v>
      </c>
      <c r="D152" s="477" t="s">
        <v>314</v>
      </c>
    </row>
    <row r="153" spans="3:4" s="475" customFormat="1" ht="14.25">
      <c r="C153" s="476" t="s">
        <v>315</v>
      </c>
      <c r="D153" s="477" t="s">
        <v>316</v>
      </c>
    </row>
    <row r="154" spans="3:4" s="475" customFormat="1" ht="14.25">
      <c r="C154" s="476" t="s">
        <v>317</v>
      </c>
      <c r="D154" s="477" t="s">
        <v>318</v>
      </c>
    </row>
    <row r="155" spans="3:4" s="475" customFormat="1" ht="14.25">
      <c r="C155" s="476" t="s">
        <v>319</v>
      </c>
      <c r="D155" s="477" t="s">
        <v>320</v>
      </c>
    </row>
    <row r="156" spans="3:4" s="475" customFormat="1" ht="14.25">
      <c r="C156" s="476" t="s">
        <v>321</v>
      </c>
      <c r="D156" s="477" t="s">
        <v>322</v>
      </c>
    </row>
    <row r="157" spans="3:4" s="475" customFormat="1" ht="14.25">
      <c r="C157" s="476" t="s">
        <v>323</v>
      </c>
      <c r="D157" s="477" t="s">
        <v>324</v>
      </c>
    </row>
    <row r="158" spans="3:4" s="475" customFormat="1" ht="14.25">
      <c r="C158" s="476" t="s">
        <v>325</v>
      </c>
      <c r="D158" s="477" t="s">
        <v>326</v>
      </c>
    </row>
    <row r="159" spans="3:4" s="475" customFormat="1" ht="14.25">
      <c r="C159" s="476" t="s">
        <v>327</v>
      </c>
      <c r="D159" s="477" t="s">
        <v>328</v>
      </c>
    </row>
    <row r="160" spans="3:4" s="475" customFormat="1" ht="14.25">
      <c r="C160" s="476" t="s">
        <v>329</v>
      </c>
      <c r="D160" s="477" t="s">
        <v>330</v>
      </c>
    </row>
    <row r="161" spans="3:4" s="475" customFormat="1" ht="14.25">
      <c r="C161" s="476" t="s">
        <v>331</v>
      </c>
      <c r="D161" s="477" t="s">
        <v>332</v>
      </c>
    </row>
    <row r="162" spans="3:4" s="475" customFormat="1" ht="14.25">
      <c r="C162" s="476" t="s">
        <v>405</v>
      </c>
      <c r="D162" s="477" t="s">
        <v>333</v>
      </c>
    </row>
    <row r="163" spans="3:4" s="475" customFormat="1" ht="14.25">
      <c r="C163" s="476" t="s">
        <v>406</v>
      </c>
      <c r="D163" s="477" t="s">
        <v>407</v>
      </c>
    </row>
    <row r="164" spans="3:4" s="475" customFormat="1" ht="14.25">
      <c r="C164" s="476" t="s">
        <v>334</v>
      </c>
      <c r="D164" s="477" t="s">
        <v>335</v>
      </c>
    </row>
    <row r="165" spans="3:4" s="475" customFormat="1" ht="14.25">
      <c r="C165" s="476" t="s">
        <v>185</v>
      </c>
      <c r="D165" s="477" t="s">
        <v>15</v>
      </c>
    </row>
    <row r="166" spans="3:4" s="475" customFormat="1" ht="14.25">
      <c r="C166" s="476" t="s">
        <v>336</v>
      </c>
      <c r="D166" s="477" t="s">
        <v>337</v>
      </c>
    </row>
    <row r="167" spans="3:4" s="475" customFormat="1" ht="14.25">
      <c r="C167" s="476" t="s">
        <v>338</v>
      </c>
      <c r="D167" s="477" t="s">
        <v>339</v>
      </c>
    </row>
    <row r="168" spans="3:4" s="475" customFormat="1" ht="14.25">
      <c r="C168" s="476" t="s">
        <v>340</v>
      </c>
      <c r="D168" s="477" t="s">
        <v>341</v>
      </c>
    </row>
    <row r="169" spans="3:4" s="475" customFormat="1" ht="14.25">
      <c r="C169" s="476" t="s">
        <v>342</v>
      </c>
      <c r="D169" s="477" t="s">
        <v>343</v>
      </c>
    </row>
    <row r="170" spans="3:4" s="475" customFormat="1" ht="14.25">
      <c r="C170" s="476" t="s">
        <v>344</v>
      </c>
      <c r="D170" s="477" t="s">
        <v>345</v>
      </c>
    </row>
    <row r="171" spans="3:4" s="475" customFormat="1" ht="14.25">
      <c r="C171" s="476" t="s">
        <v>346</v>
      </c>
      <c r="D171" s="477" t="s">
        <v>347</v>
      </c>
    </row>
    <row r="172" spans="3:4" s="475" customFormat="1" ht="14.25">
      <c r="C172" s="476" t="s">
        <v>348</v>
      </c>
      <c r="D172" s="477" t="s">
        <v>349</v>
      </c>
    </row>
    <row r="173" spans="3:4" s="475" customFormat="1" ht="14.25">
      <c r="C173" s="476" t="s">
        <v>350</v>
      </c>
      <c r="D173" s="477" t="s">
        <v>351</v>
      </c>
    </row>
    <row r="174" spans="3:4" s="475" customFormat="1" ht="14.25">
      <c r="C174" s="476" t="s">
        <v>513</v>
      </c>
      <c r="D174" s="477" t="s">
        <v>514</v>
      </c>
    </row>
    <row r="175" spans="3:4" s="475" customFormat="1" ht="14.25">
      <c r="C175" s="478" t="s">
        <v>352</v>
      </c>
      <c r="D175" s="477" t="s">
        <v>353</v>
      </c>
    </row>
    <row r="176" spans="3:4" s="475" customFormat="1" ht="14.25">
      <c r="C176" s="476" t="s">
        <v>358</v>
      </c>
      <c r="D176" s="477" t="s">
        <v>359</v>
      </c>
    </row>
    <row r="177" spans="3:4" s="475" customFormat="1" ht="14.25">
      <c r="C177" s="476" t="s">
        <v>362</v>
      </c>
      <c r="D177" s="477" t="s">
        <v>363</v>
      </c>
    </row>
    <row r="178" spans="3:4" s="475" customFormat="1" ht="14.25">
      <c r="C178" s="476" t="s">
        <v>364</v>
      </c>
      <c r="D178" s="477" t="s">
        <v>365</v>
      </c>
    </row>
    <row r="179" spans="3:4" s="475" customFormat="1" ht="14.25">
      <c r="C179" s="476" t="s">
        <v>366</v>
      </c>
      <c r="D179" s="477" t="s">
        <v>367</v>
      </c>
    </row>
    <row r="180" spans="3:4" s="475" customFormat="1" ht="14.25">
      <c r="C180" s="476" t="s">
        <v>368</v>
      </c>
      <c r="D180" s="477" t="s">
        <v>369</v>
      </c>
    </row>
    <row r="181" spans="3:4" s="475" customFormat="1" ht="14.25">
      <c r="C181" s="476" t="s">
        <v>372</v>
      </c>
      <c r="D181" s="477" t="s">
        <v>373</v>
      </c>
    </row>
    <row r="182" spans="3:4" s="475" customFormat="1" ht="14.25">
      <c r="C182" s="476" t="s">
        <v>374</v>
      </c>
      <c r="D182" s="477" t="s">
        <v>375</v>
      </c>
    </row>
    <row r="183" spans="3:4" s="475" customFormat="1" ht="14.25">
      <c r="C183" s="476" t="s">
        <v>376</v>
      </c>
      <c r="D183" s="477" t="s">
        <v>377</v>
      </c>
    </row>
    <row r="184" spans="3:4" s="475" customFormat="1" ht="14.25">
      <c r="C184" s="476" t="s">
        <v>378</v>
      </c>
      <c r="D184" s="477" t="s">
        <v>379</v>
      </c>
    </row>
    <row r="185" spans="3:4" s="475" customFormat="1" ht="14.25">
      <c r="C185" s="476" t="s">
        <v>380</v>
      </c>
      <c r="D185" s="477" t="s">
        <v>381</v>
      </c>
    </row>
    <row r="186" spans="3:4" s="475" customFormat="1" ht="14.25">
      <c r="C186" s="476" t="s">
        <v>382</v>
      </c>
      <c r="D186" s="477" t="s">
        <v>383</v>
      </c>
    </row>
    <row r="187" spans="3:4" s="475" customFormat="1" ht="14.25">
      <c r="C187" s="476" t="s">
        <v>384</v>
      </c>
      <c r="D187" s="477" t="s">
        <v>385</v>
      </c>
    </row>
    <row r="188" spans="3:4" s="475" customFormat="1" ht="14.25">
      <c r="C188" s="476" t="s">
        <v>388</v>
      </c>
      <c r="D188" s="477" t="s">
        <v>389</v>
      </c>
    </row>
    <row r="189" spans="3:4" s="475" customFormat="1" ht="14.25">
      <c r="C189" s="476" t="s">
        <v>390</v>
      </c>
      <c r="D189" s="477" t="s">
        <v>391</v>
      </c>
    </row>
    <row r="190" spans="3:4" s="475" customFormat="1" ht="14.25">
      <c r="C190" s="476" t="s">
        <v>392</v>
      </c>
      <c r="D190" s="477" t="s">
        <v>393</v>
      </c>
    </row>
    <row r="191" spans="3:4" s="475" customFormat="1" ht="14.25">
      <c r="C191" s="476" t="s">
        <v>394</v>
      </c>
      <c r="D191" s="477" t="s">
        <v>395</v>
      </c>
    </row>
    <row r="192" spans="3:4" s="475" customFormat="1" ht="14.25">
      <c r="C192" s="476" t="s">
        <v>397</v>
      </c>
      <c r="D192" s="477" t="s">
        <v>398</v>
      </c>
    </row>
    <row r="193" spans="3:4" s="475" customFormat="1" ht="14.25">
      <c r="C193" s="476" t="s">
        <v>408</v>
      </c>
      <c r="D193" s="477" t="s">
        <v>410</v>
      </c>
    </row>
    <row r="194" spans="3:4" s="475" customFormat="1" ht="14.25">
      <c r="C194" s="476" t="s">
        <v>409</v>
      </c>
      <c r="D194" s="477" t="s">
        <v>411</v>
      </c>
    </row>
    <row r="195" spans="3:4" s="475" customFormat="1" ht="14.25">
      <c r="C195" s="476" t="s">
        <v>564</v>
      </c>
      <c r="D195" s="477" t="s">
        <v>412</v>
      </c>
    </row>
    <row r="196" spans="3:4" s="475" customFormat="1" ht="14.25">
      <c r="C196" s="476" t="s">
        <v>415</v>
      </c>
      <c r="D196" s="477" t="s">
        <v>413</v>
      </c>
    </row>
    <row r="197" spans="3:4" s="475" customFormat="1" ht="14.25">
      <c r="C197" s="476" t="s">
        <v>416</v>
      </c>
      <c r="D197" s="477" t="s">
        <v>414</v>
      </c>
    </row>
    <row r="198" spans="3:4" s="475" customFormat="1" ht="14.25">
      <c r="C198" s="476" t="s">
        <v>565</v>
      </c>
      <c r="D198" s="477" t="s">
        <v>417</v>
      </c>
    </row>
    <row r="199" spans="3:4" s="475" customFormat="1" ht="14.25">
      <c r="C199" s="476" t="s">
        <v>419</v>
      </c>
      <c r="D199" s="477" t="s">
        <v>418</v>
      </c>
    </row>
    <row r="200" spans="3:4" s="475" customFormat="1" ht="14.25">
      <c r="C200" s="476" t="s">
        <v>420</v>
      </c>
      <c r="D200" s="477" t="s">
        <v>421</v>
      </c>
    </row>
    <row r="201" spans="3:4" s="475" customFormat="1" ht="14.25">
      <c r="C201" s="476" t="s">
        <v>422</v>
      </c>
      <c r="D201" s="477" t="s">
        <v>423</v>
      </c>
    </row>
    <row r="202" spans="3:4" s="475" customFormat="1" ht="14.25">
      <c r="C202" s="476" t="s">
        <v>424</v>
      </c>
      <c r="D202" s="477" t="s">
        <v>425</v>
      </c>
    </row>
    <row r="203" spans="3:4" s="475" customFormat="1" ht="14.25">
      <c r="C203" s="476" t="s">
        <v>469</v>
      </c>
      <c r="D203" s="477" t="s">
        <v>470</v>
      </c>
    </row>
    <row r="204" spans="3:4" s="475" customFormat="1" ht="14.25">
      <c r="C204" s="476" t="s">
        <v>566</v>
      </c>
      <c r="D204" s="477" t="s">
        <v>506</v>
      </c>
    </row>
    <row r="205" spans="3:4" s="475" customFormat="1" ht="14.25">
      <c r="C205" s="476" t="s">
        <v>464</v>
      </c>
      <c r="D205" s="477" t="s">
        <v>507</v>
      </c>
    </row>
    <row r="206" spans="3:4" s="475" customFormat="1" ht="14.25">
      <c r="C206" s="476" t="s">
        <v>567</v>
      </c>
      <c r="D206" s="477" t="s">
        <v>509</v>
      </c>
    </row>
    <row r="207" spans="3:4" s="475" customFormat="1" ht="14.25">
      <c r="C207" s="476" t="s">
        <v>466</v>
      </c>
      <c r="D207" s="477" t="s">
        <v>508</v>
      </c>
    </row>
    <row r="208" spans="3:4" s="475" customFormat="1" ht="14.25">
      <c r="C208" s="476" t="s">
        <v>467</v>
      </c>
      <c r="D208" s="477" t="s">
        <v>468</v>
      </c>
    </row>
    <row r="209" spans="3:4" s="475" customFormat="1" ht="14.25">
      <c r="C209" s="476" t="s">
        <v>226</v>
      </c>
      <c r="D209" s="477" t="s">
        <v>227</v>
      </c>
    </row>
    <row r="210" spans="3:4" s="475" customFormat="1" ht="14.25">
      <c r="C210" s="476" t="s">
        <v>230</v>
      </c>
      <c r="D210" s="477" t="s">
        <v>231</v>
      </c>
    </row>
    <row r="211" spans="3:4" s="475" customFormat="1" ht="14.25">
      <c r="C211" s="476" t="s">
        <v>426</v>
      </c>
      <c r="D211" s="477" t="s">
        <v>478</v>
      </c>
    </row>
    <row r="212" spans="3:4" s="475" customFormat="1" ht="14.25">
      <c r="C212" s="476" t="s">
        <v>430</v>
      </c>
      <c r="D212" s="477" t="s">
        <v>479</v>
      </c>
    </row>
    <row r="213" spans="3:4" s="475" customFormat="1" ht="14.25">
      <c r="C213" s="476" t="s">
        <v>432</v>
      </c>
      <c r="D213" s="477" t="s">
        <v>480</v>
      </c>
    </row>
    <row r="214" spans="3:4" s="475" customFormat="1" ht="14.25">
      <c r="C214" s="476" t="s">
        <v>465</v>
      </c>
      <c r="D214" s="477" t="s">
        <v>481</v>
      </c>
    </row>
    <row r="215" spans="3:4" s="475" customFormat="1" ht="14.25">
      <c r="C215" s="476" t="s">
        <v>449</v>
      </c>
      <c r="D215" s="477" t="s">
        <v>482</v>
      </c>
    </row>
    <row r="216" spans="3:4" s="475" customFormat="1" ht="14.25">
      <c r="C216" s="476" t="s">
        <v>448</v>
      </c>
      <c r="D216" s="477" t="s">
        <v>483</v>
      </c>
    </row>
    <row r="217" spans="3:4" s="475" customFormat="1" ht="14.25">
      <c r="C217" s="476" t="s">
        <v>447</v>
      </c>
      <c r="D217" s="477" t="s">
        <v>484</v>
      </c>
    </row>
    <row r="218" spans="3:4" s="475" customFormat="1" ht="14.25">
      <c r="C218" s="476" t="s">
        <v>428</v>
      </c>
      <c r="D218" s="477" t="s">
        <v>485</v>
      </c>
    </row>
    <row r="219" spans="3:4" s="475" customFormat="1" ht="14.25">
      <c r="C219" s="476" t="s">
        <v>429</v>
      </c>
      <c r="D219" s="477" t="s">
        <v>486</v>
      </c>
    </row>
    <row r="220" spans="3:4" s="475" customFormat="1" ht="14.25">
      <c r="C220" s="476" t="s">
        <v>450</v>
      </c>
      <c r="D220" s="477" t="s">
        <v>487</v>
      </c>
    </row>
    <row r="221" spans="3:4" s="475" customFormat="1" ht="14.25">
      <c r="C221" s="476" t="s">
        <v>427</v>
      </c>
      <c r="D221" s="477" t="s">
        <v>488</v>
      </c>
    </row>
    <row r="222" spans="3:4" s="475" customFormat="1" ht="14.25">
      <c r="C222" s="476" t="s">
        <v>451</v>
      </c>
      <c r="D222" s="477" t="s">
        <v>489</v>
      </c>
    </row>
    <row r="223" spans="3:4" s="475" customFormat="1" ht="14.25">
      <c r="C223" s="476" t="s">
        <v>459</v>
      </c>
      <c r="D223" s="477" t="s">
        <v>490</v>
      </c>
    </row>
    <row r="224" spans="3:4" s="475" customFormat="1" ht="14.25">
      <c r="C224" s="476" t="s">
        <v>460</v>
      </c>
      <c r="D224" s="477" t="s">
        <v>491</v>
      </c>
    </row>
    <row r="225" spans="3:4" s="475" customFormat="1" ht="14.25">
      <c r="C225" s="476" t="s">
        <v>461</v>
      </c>
      <c r="D225" s="477" t="s">
        <v>492</v>
      </c>
    </row>
    <row r="226" spans="3:4" s="475" customFormat="1" ht="14.25">
      <c r="C226" s="479" t="s">
        <v>462</v>
      </c>
      <c r="D226" s="477" t="s">
        <v>493</v>
      </c>
    </row>
    <row r="227" spans="3:4" s="475" customFormat="1" ht="14.25">
      <c r="C227" s="476" t="s">
        <v>471</v>
      </c>
      <c r="D227" s="477" t="s">
        <v>494</v>
      </c>
    </row>
    <row r="228" spans="3:4" s="475" customFormat="1" ht="14.25">
      <c r="C228" s="476" t="s">
        <v>472</v>
      </c>
      <c r="D228" s="477" t="s">
        <v>495</v>
      </c>
    </row>
    <row r="229" spans="3:4" s="475" customFormat="1" ht="14.25">
      <c r="C229" s="476" t="s">
        <v>453</v>
      </c>
      <c r="D229" s="477" t="s">
        <v>496</v>
      </c>
    </row>
    <row r="230" spans="3:4" s="475" customFormat="1" ht="14.25">
      <c r="C230" s="479" t="s">
        <v>455</v>
      </c>
      <c r="D230" s="477" t="s">
        <v>497</v>
      </c>
    </row>
    <row r="231" spans="3:4" s="475" customFormat="1" ht="14.25">
      <c r="C231" s="476" t="s">
        <v>454</v>
      </c>
      <c r="D231" s="477" t="s">
        <v>498</v>
      </c>
    </row>
    <row r="232" spans="3:4" s="475" customFormat="1" ht="14.25">
      <c r="C232" s="479" t="s">
        <v>456</v>
      </c>
      <c r="D232" s="477" t="s">
        <v>499</v>
      </c>
    </row>
    <row r="233" spans="3:4" s="475" customFormat="1" ht="14.25">
      <c r="C233" s="480" t="s">
        <v>568</v>
      </c>
      <c r="D233" s="477" t="s">
        <v>500</v>
      </c>
    </row>
    <row r="234" spans="3:4" s="475" customFormat="1" ht="14.25">
      <c r="C234" s="476" t="s">
        <v>457</v>
      </c>
      <c r="D234" s="477" t="s">
        <v>501</v>
      </c>
    </row>
    <row r="235" spans="3:4" s="475" customFormat="1" ht="14.25">
      <c r="C235" s="476" t="s">
        <v>458</v>
      </c>
      <c r="D235" s="477" t="s">
        <v>502</v>
      </c>
    </row>
    <row r="236" spans="3:4" s="475" customFormat="1" ht="14.25">
      <c r="C236" s="476" t="s">
        <v>569</v>
      </c>
      <c r="D236" s="477" t="s">
        <v>503</v>
      </c>
    </row>
    <row r="237" spans="3:4" s="475" customFormat="1" ht="14.25">
      <c r="C237" s="479" t="s">
        <v>473</v>
      </c>
      <c r="D237" s="477" t="s">
        <v>504</v>
      </c>
    </row>
    <row r="238" spans="3:4" s="475" customFormat="1" ht="14.25">
      <c r="C238" s="480" t="s">
        <v>474</v>
      </c>
      <c r="D238" s="477" t="s">
        <v>475</v>
      </c>
    </row>
    <row r="239" spans="3:4" s="475" customFormat="1" ht="14.25">
      <c r="C239" s="480" t="s">
        <v>476</v>
      </c>
      <c r="D239" s="477" t="s">
        <v>477</v>
      </c>
    </row>
    <row r="240" spans="3:4" s="475" customFormat="1" ht="14.25">
      <c r="C240" s="480" t="s">
        <v>463</v>
      </c>
      <c r="D240" s="477" t="s">
        <v>505</v>
      </c>
    </row>
    <row r="241" spans="3:4" s="475" customFormat="1" ht="14.25">
      <c r="C241" s="479" t="s">
        <v>515</v>
      </c>
      <c r="D241" s="477" t="s">
        <v>516</v>
      </c>
    </row>
    <row r="242" spans="3:4" s="475" customFormat="1" ht="14.25">
      <c r="C242" s="479" t="s">
        <v>518</v>
      </c>
      <c r="D242" s="477" t="s">
        <v>536</v>
      </c>
    </row>
    <row r="243" spans="3:4" s="475" customFormat="1" ht="14.25">
      <c r="C243" s="479" t="s">
        <v>526</v>
      </c>
      <c r="D243" s="477" t="s">
        <v>537</v>
      </c>
    </row>
    <row r="244" spans="3:4" s="475" customFormat="1" ht="14.25">
      <c r="C244" s="479" t="s">
        <v>527</v>
      </c>
      <c r="D244" s="477" t="s">
        <v>538</v>
      </c>
    </row>
    <row r="245" spans="3:4" s="475" customFormat="1" ht="14.25">
      <c r="C245" s="479" t="s">
        <v>528</v>
      </c>
      <c r="D245" s="477" t="s">
        <v>539</v>
      </c>
    </row>
    <row r="246" spans="3:4" s="475" customFormat="1" ht="14.25">
      <c r="C246" s="479" t="s">
        <v>529</v>
      </c>
      <c r="D246" s="477" t="s">
        <v>540</v>
      </c>
    </row>
    <row r="247" spans="3:4" s="475" customFormat="1" ht="14.25">
      <c r="C247" s="479" t="s">
        <v>519</v>
      </c>
      <c r="D247" s="477" t="s">
        <v>541</v>
      </c>
    </row>
    <row r="248" spans="3:4" s="475" customFormat="1" ht="14.25">
      <c r="C248" s="479" t="s">
        <v>531</v>
      </c>
      <c r="D248" s="477" t="s">
        <v>542</v>
      </c>
    </row>
    <row r="249" spans="3:4" ht="14.25">
      <c r="C249" s="479" t="s">
        <v>532</v>
      </c>
      <c r="D249" s="477" t="s">
        <v>543</v>
      </c>
    </row>
    <row r="250" spans="3:4" ht="14.25">
      <c r="C250" s="479" t="s">
        <v>510</v>
      </c>
      <c r="D250" s="477" t="s">
        <v>544</v>
      </c>
    </row>
    <row r="251" spans="3:4" ht="14.25">
      <c r="C251" s="479" t="s">
        <v>511</v>
      </c>
      <c r="D251" s="477" t="s">
        <v>545</v>
      </c>
    </row>
    <row r="252" spans="3:4" ht="14.25">
      <c r="C252" s="479" t="s">
        <v>524</v>
      </c>
      <c r="D252" s="477" t="s">
        <v>546</v>
      </c>
    </row>
    <row r="253" spans="3:4" ht="14.25">
      <c r="C253" s="479" t="s">
        <v>533</v>
      </c>
      <c r="D253" s="477" t="s">
        <v>547</v>
      </c>
    </row>
    <row r="254" spans="3:4" ht="14.25">
      <c r="C254" s="479" t="s">
        <v>535</v>
      </c>
      <c r="D254" s="477" t="s">
        <v>548</v>
      </c>
    </row>
    <row r="255" spans="3:4" ht="14.25">
      <c r="C255" s="479" t="s">
        <v>549</v>
      </c>
      <c r="D255" s="477" t="s">
        <v>550</v>
      </c>
    </row>
    <row r="256" spans="3:4" ht="14.25">
      <c r="C256" s="479" t="s">
        <v>522</v>
      </c>
      <c r="D256" s="477" t="s">
        <v>551</v>
      </c>
    </row>
    <row r="257" spans="3:4" ht="14.25">
      <c r="C257" s="479" t="s">
        <v>534</v>
      </c>
      <c r="D257" s="477" t="s">
        <v>552</v>
      </c>
    </row>
    <row r="258" spans="3:4" ht="14.25">
      <c r="C258" s="479" t="s">
        <v>553</v>
      </c>
      <c r="D258" s="477" t="s">
        <v>554</v>
      </c>
    </row>
    <row r="259" spans="3:4" ht="14.25">
      <c r="C259" s="479" t="s">
        <v>555</v>
      </c>
      <c r="D259" s="477" t="s">
        <v>556</v>
      </c>
    </row>
    <row r="260" spans="3:4" ht="14.25">
      <c r="C260" s="479" t="s">
        <v>558</v>
      </c>
      <c r="D260" s="477" t="s">
        <v>559</v>
      </c>
    </row>
    <row r="261" spans="3:4" ht="14.25">
      <c r="C261" s="479" t="s">
        <v>571</v>
      </c>
      <c r="D261" s="477" t="s">
        <v>572</v>
      </c>
    </row>
    <row r="262" spans="3:4" ht="14.25">
      <c r="C262" s="481" t="s">
        <v>573</v>
      </c>
      <c r="D262" s="477" t="s">
        <v>574</v>
      </c>
    </row>
    <row r="263" spans="3:4" ht="14.25">
      <c r="C263" s="481" t="s">
        <v>575</v>
      </c>
      <c r="D263" s="477" t="s">
        <v>576</v>
      </c>
    </row>
    <row r="264" spans="3:4" ht="14.25">
      <c r="C264" s="481" t="s">
        <v>620</v>
      </c>
      <c r="D264" s="477" t="s">
        <v>621</v>
      </c>
    </row>
    <row r="265" spans="3:4" ht="14.25">
      <c r="C265" s="481" t="s">
        <v>661</v>
      </c>
      <c r="D265" s="477" t="s">
        <v>660</v>
      </c>
    </row>
    <row r="266" spans="3:4" ht="14.25">
      <c r="C266" s="481" t="s">
        <v>657</v>
      </c>
      <c r="D266" s="477" t="s">
        <v>658</v>
      </c>
    </row>
    <row r="267" spans="3:4" ht="14.25">
      <c r="C267" s="481" t="s">
        <v>662</v>
      </c>
      <c r="D267" s="477" t="s">
        <v>663</v>
      </c>
    </row>
    <row r="268" spans="3:4" ht="14.25">
      <c r="C268" s="481" t="s">
        <v>664</v>
      </c>
      <c r="D268" s="477" t="s">
        <v>665</v>
      </c>
    </row>
    <row r="269" spans="3:4" ht="14.25">
      <c r="C269" s="481" t="s">
        <v>666</v>
      </c>
      <c r="D269" s="477" t="s">
        <v>667</v>
      </c>
    </row>
    <row r="270" spans="3:4" ht="14.25">
      <c r="C270" s="481" t="s">
        <v>672</v>
      </c>
      <c r="D270" s="477" t="s">
        <v>673</v>
      </c>
    </row>
    <row r="271" spans="3:4" ht="14.25">
      <c r="C271" s="481"/>
      <c r="D271" s="477"/>
    </row>
    <row r="272" spans="3:4" ht="14.25">
      <c r="C272" s="481" t="s">
        <v>577</v>
      </c>
      <c r="D272" s="477" t="s">
        <v>578</v>
      </c>
    </row>
    <row r="273" spans="3:4" ht="14.25">
      <c r="C273" s="481" t="s">
        <v>600</v>
      </c>
      <c r="D273" s="477" t="s">
        <v>601</v>
      </c>
    </row>
    <row r="274" spans="3:4" ht="14.25">
      <c r="C274" s="481" t="s">
        <v>579</v>
      </c>
      <c r="D274" s="477" t="s">
        <v>580</v>
      </c>
    </row>
    <row r="275" spans="3:4" ht="14.25">
      <c r="C275" s="481" t="s">
        <v>640</v>
      </c>
      <c r="D275" s="477" t="s">
        <v>643</v>
      </c>
    </row>
    <row r="276" spans="3:4" ht="14.25">
      <c r="C276" s="481" t="s">
        <v>598</v>
      </c>
      <c r="D276" s="477" t="s">
        <v>602</v>
      </c>
    </row>
    <row r="277" spans="3:4" ht="14.25">
      <c r="C277" s="481" t="s">
        <v>599</v>
      </c>
      <c r="D277" s="477" t="s">
        <v>659</v>
      </c>
    </row>
    <row r="278" spans="3:4" ht="14.25">
      <c r="C278" s="481" t="s">
        <v>613</v>
      </c>
      <c r="D278" s="477" t="s">
        <v>603</v>
      </c>
    </row>
    <row r="279" spans="3:4" ht="14.25">
      <c r="C279" s="481" t="s">
        <v>606</v>
      </c>
      <c r="D279" s="477" t="s">
        <v>607</v>
      </c>
    </row>
    <row r="280" ht="14.25">
      <c r="C280" s="473"/>
    </row>
    <row r="281" spans="3:4" ht="14.25">
      <c r="C281" s="465" t="s">
        <v>80</v>
      </c>
      <c r="D281" s="465" t="s">
        <v>81</v>
      </c>
    </row>
    <row r="282" spans="3:4" ht="14.25">
      <c r="C282" s="469" t="s">
        <v>227</v>
      </c>
      <c r="D282" s="473" t="s">
        <v>226</v>
      </c>
    </row>
    <row r="283" spans="3:4" ht="14.25">
      <c r="C283" s="469" t="s">
        <v>229</v>
      </c>
      <c r="D283" s="473" t="s">
        <v>228</v>
      </c>
    </row>
    <row r="284" spans="3:4" ht="14.25">
      <c r="C284" s="469" t="s">
        <v>231</v>
      </c>
      <c r="D284" s="473" t="s">
        <v>230</v>
      </c>
    </row>
    <row r="285" spans="3:4" ht="14.25">
      <c r="C285" s="469" t="s">
        <v>229</v>
      </c>
      <c r="D285" s="473" t="s">
        <v>228</v>
      </c>
    </row>
    <row r="286" spans="3:4" ht="14.25">
      <c r="C286" s="469" t="s">
        <v>233</v>
      </c>
      <c r="D286" s="473" t="s">
        <v>232</v>
      </c>
    </row>
    <row r="287" spans="3:4" ht="14.25">
      <c r="C287" s="469" t="s">
        <v>235</v>
      </c>
      <c r="D287" s="473" t="s">
        <v>234</v>
      </c>
    </row>
    <row r="288" spans="3:4" ht="14.25">
      <c r="C288" s="469" t="s">
        <v>237</v>
      </c>
      <c r="D288" s="473" t="s">
        <v>236</v>
      </c>
    </row>
    <row r="289" spans="3:4" ht="14.25">
      <c r="C289" s="469" t="s">
        <v>238</v>
      </c>
      <c r="D289" s="473" t="s">
        <v>238</v>
      </c>
    </row>
    <row r="290" spans="3:4" ht="14.25">
      <c r="C290" s="469" t="s">
        <v>240</v>
      </c>
      <c r="D290" s="473" t="s">
        <v>239</v>
      </c>
    </row>
    <row r="291" spans="3:4" ht="14.25">
      <c r="C291" s="469" t="s">
        <v>242</v>
      </c>
      <c r="D291" s="473" t="s">
        <v>241</v>
      </c>
    </row>
    <row r="292" spans="3:4" ht="14.25">
      <c r="C292" s="469" t="s">
        <v>244</v>
      </c>
      <c r="D292" s="473" t="s">
        <v>243</v>
      </c>
    </row>
    <row r="293" spans="3:4" ht="14.25">
      <c r="C293" s="469" t="s">
        <v>246</v>
      </c>
      <c r="D293" s="473" t="s">
        <v>245</v>
      </c>
    </row>
    <row r="294" spans="3:4" ht="14.25">
      <c r="C294" s="469" t="s">
        <v>248</v>
      </c>
      <c r="D294" s="473" t="s">
        <v>247</v>
      </c>
    </row>
    <row r="295" spans="3:4" ht="14.25">
      <c r="C295" s="469" t="s">
        <v>250</v>
      </c>
      <c r="D295" s="473" t="s">
        <v>249</v>
      </c>
    </row>
    <row r="296" spans="3:4" ht="14.25">
      <c r="C296" s="469" t="s">
        <v>252</v>
      </c>
      <c r="D296" s="473" t="s">
        <v>251</v>
      </c>
    </row>
    <row r="297" spans="3:4" ht="14.25">
      <c r="C297" s="469" t="s">
        <v>254</v>
      </c>
      <c r="D297" s="473" t="s">
        <v>253</v>
      </c>
    </row>
    <row r="298" spans="3:4" ht="14.25">
      <c r="C298" s="469" t="s">
        <v>271</v>
      </c>
      <c r="D298" s="474" t="s">
        <v>268</v>
      </c>
    </row>
    <row r="299" ht="14.25"/>
    <row r="65536" ht="14.25" hidden="1">
      <c r="IV65536" s="482" t="s">
        <v>648</v>
      </c>
    </row>
  </sheetData>
  <sheetProtection password="97A7" sheet="1" objects="1" scenarios="1" formatColumns="0" formatRows="0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>
    <tabColor indexed="22"/>
  </sheetPr>
  <dimension ref="B1:N37"/>
  <sheetViews>
    <sheetView zoomScalePageLayoutView="0" workbookViewId="0" topLeftCell="A32">
      <selection activeCell="A1" sqref="A1"/>
    </sheetView>
  </sheetViews>
  <sheetFormatPr defaultColWidth="0" defaultRowHeight="15" zeroHeight="1"/>
  <cols>
    <col min="1" max="1" width="4.57421875" style="0" customWidth="1"/>
    <col min="2" max="2" width="11.140625" style="0" customWidth="1"/>
    <col min="3" max="3" width="18.421875" style="484" customWidth="1"/>
    <col min="4" max="4" width="4.421875" style="0" customWidth="1"/>
    <col min="5" max="5" width="85.421875" style="0" customWidth="1"/>
    <col min="6" max="6" width="4.57421875" style="0" customWidth="1"/>
    <col min="7" max="10" width="9.140625" style="0" hidden="1" customWidth="1"/>
    <col min="11" max="16384" width="9.140625" style="0" hidden="1" customWidth="1"/>
  </cols>
  <sheetData>
    <row r="1" spans="3:10" s="23" customFormat="1" ht="12">
      <c r="C1" s="485"/>
      <c r="J1" s="397"/>
    </row>
    <row r="2" spans="3:10" s="23" customFormat="1" ht="12">
      <c r="C2" s="485"/>
      <c r="J2" s="397"/>
    </row>
    <row r="3" spans="2:14" s="23" customFormat="1" ht="26.25" customHeight="1">
      <c r="B3" s="398" t="s">
        <v>586</v>
      </c>
      <c r="C3" s="485"/>
      <c r="G3" s="23" t="s">
        <v>586</v>
      </c>
      <c r="J3" s="397"/>
      <c r="K3" s="408" t="s">
        <v>593</v>
      </c>
      <c r="N3" s="397"/>
    </row>
    <row r="4" spans="2:14" s="23" customFormat="1" ht="21" customHeight="1">
      <c r="B4" s="405" t="s">
        <v>253</v>
      </c>
      <c r="C4" s="486" t="s">
        <v>581</v>
      </c>
      <c r="D4" s="406"/>
      <c r="E4" s="407" t="s">
        <v>582</v>
      </c>
      <c r="G4" s="23" t="s">
        <v>253</v>
      </c>
      <c r="H4" s="23" t="s">
        <v>581</v>
      </c>
      <c r="J4" s="397" t="s">
        <v>582</v>
      </c>
      <c r="K4" s="408" t="s">
        <v>254</v>
      </c>
      <c r="L4" s="23" t="s">
        <v>584</v>
      </c>
      <c r="N4" s="397" t="s">
        <v>583</v>
      </c>
    </row>
    <row r="5" spans="2:14" s="23" customFormat="1" ht="25.5">
      <c r="B5" s="409">
        <v>40086</v>
      </c>
      <c r="C5" s="487" t="s">
        <v>587</v>
      </c>
      <c r="D5" s="399"/>
      <c r="E5" s="400" t="s">
        <v>588</v>
      </c>
      <c r="J5" s="397" t="s">
        <v>588</v>
      </c>
      <c r="K5" s="408" t="s">
        <v>585</v>
      </c>
      <c r="N5" s="397" t="s">
        <v>589</v>
      </c>
    </row>
    <row r="6" spans="2:14" s="23" customFormat="1" ht="25.5">
      <c r="B6" s="426">
        <v>40093</v>
      </c>
      <c r="C6" s="488" t="s">
        <v>590</v>
      </c>
      <c r="D6" s="403"/>
      <c r="E6" s="404" t="s">
        <v>591</v>
      </c>
      <c r="J6" s="397" t="s">
        <v>591</v>
      </c>
      <c r="K6" s="408"/>
      <c r="N6" s="397" t="s">
        <v>592</v>
      </c>
    </row>
    <row r="7" spans="3:14" s="23" customFormat="1" ht="15" customHeight="1">
      <c r="C7" s="485"/>
      <c r="J7" s="397"/>
      <c r="K7" s="408"/>
      <c r="L7" s="23" t="s">
        <v>298</v>
      </c>
      <c r="N7" s="397"/>
    </row>
    <row r="8" spans="3:14" s="23" customFormat="1" ht="15" customHeight="1">
      <c r="C8" s="485"/>
      <c r="J8" s="397"/>
      <c r="K8" s="408"/>
      <c r="N8" s="397"/>
    </row>
    <row r="9" spans="2:14" s="23" customFormat="1" ht="26.25" customHeight="1">
      <c r="B9" s="398" t="s">
        <v>608</v>
      </c>
      <c r="C9" s="485"/>
      <c r="G9" s="23" t="s">
        <v>608</v>
      </c>
      <c r="J9" s="397"/>
      <c r="K9" s="408" t="s">
        <v>609</v>
      </c>
      <c r="N9" s="397"/>
    </row>
    <row r="10" spans="2:14" s="23" customFormat="1" ht="21" customHeight="1">
      <c r="B10" s="405" t="s">
        <v>253</v>
      </c>
      <c r="C10" s="486" t="s">
        <v>581</v>
      </c>
      <c r="D10" s="406"/>
      <c r="E10" s="407" t="s">
        <v>582</v>
      </c>
      <c r="G10" s="23" t="s">
        <v>253</v>
      </c>
      <c r="H10" s="23" t="s">
        <v>581</v>
      </c>
      <c r="J10" s="397" t="s">
        <v>582</v>
      </c>
      <c r="K10" s="408" t="s">
        <v>254</v>
      </c>
      <c r="L10" s="23" t="s">
        <v>584</v>
      </c>
      <c r="N10" s="397" t="s">
        <v>583</v>
      </c>
    </row>
    <row r="11" spans="2:14" s="23" customFormat="1" ht="14.25" customHeight="1">
      <c r="B11" s="409">
        <v>40279</v>
      </c>
      <c r="C11" s="487" t="s">
        <v>610</v>
      </c>
      <c r="D11" s="399"/>
      <c r="E11" s="400" t="s">
        <v>616</v>
      </c>
      <c r="J11" s="397"/>
      <c r="K11" s="408"/>
      <c r="N11" s="397"/>
    </row>
    <row r="12" spans="2:14" s="23" customFormat="1" ht="25.5">
      <c r="B12" s="410">
        <v>40279</v>
      </c>
      <c r="C12" s="489" t="s">
        <v>611</v>
      </c>
      <c r="D12" s="401"/>
      <c r="E12" s="402" t="s">
        <v>612</v>
      </c>
      <c r="J12" s="397"/>
      <c r="K12" s="408"/>
      <c r="N12" s="397"/>
    </row>
    <row r="13" spans="2:14" s="23" customFormat="1" ht="27.75" customHeight="1">
      <c r="B13" s="426">
        <v>40279</v>
      </c>
      <c r="C13" s="488" t="s">
        <v>614</v>
      </c>
      <c r="D13" s="403"/>
      <c r="E13" s="404" t="s">
        <v>615</v>
      </c>
      <c r="J13" s="397"/>
      <c r="K13" s="408"/>
      <c r="N13" s="397"/>
    </row>
    <row r="14" spans="3:11" s="23" customFormat="1" ht="12">
      <c r="C14" s="485"/>
      <c r="J14" s="397"/>
      <c r="K14" s="408"/>
    </row>
    <row r="15" spans="2:14" s="23" customFormat="1" ht="26.25" customHeight="1">
      <c r="B15" s="398" t="s">
        <v>617</v>
      </c>
      <c r="C15" s="485"/>
      <c r="G15" s="23" t="s">
        <v>608</v>
      </c>
      <c r="J15" s="397"/>
      <c r="K15" s="408" t="s">
        <v>609</v>
      </c>
      <c r="N15" s="397"/>
    </row>
    <row r="16" spans="2:14" s="23" customFormat="1" ht="21" customHeight="1">
      <c r="B16" s="405" t="s">
        <v>253</v>
      </c>
      <c r="C16" s="486" t="s">
        <v>581</v>
      </c>
      <c r="D16" s="406"/>
      <c r="E16" s="407" t="s">
        <v>582</v>
      </c>
      <c r="G16" s="23" t="s">
        <v>253</v>
      </c>
      <c r="H16" s="23" t="s">
        <v>581</v>
      </c>
      <c r="J16" s="397" t="s">
        <v>582</v>
      </c>
      <c r="K16" s="408" t="s">
        <v>254</v>
      </c>
      <c r="L16" s="23" t="s">
        <v>584</v>
      </c>
      <c r="N16" s="397" t="s">
        <v>583</v>
      </c>
    </row>
    <row r="17" spans="2:14" s="23" customFormat="1" ht="26.25" customHeight="1">
      <c r="B17" s="429">
        <v>40724</v>
      </c>
      <c r="C17" s="490" t="s">
        <v>618</v>
      </c>
      <c r="D17" s="430"/>
      <c r="E17" s="431" t="s">
        <v>619</v>
      </c>
      <c r="J17" s="397"/>
      <c r="K17" s="408"/>
      <c r="N17" s="397"/>
    </row>
    <row r="18" spans="3:10" s="23" customFormat="1" ht="12">
      <c r="C18" s="485"/>
      <c r="J18" s="397"/>
    </row>
    <row r="19" spans="2:14" s="23" customFormat="1" ht="26.25" customHeight="1">
      <c r="B19" s="398" t="s">
        <v>638</v>
      </c>
      <c r="C19" s="485"/>
      <c r="G19" s="23" t="s">
        <v>608</v>
      </c>
      <c r="J19" s="397"/>
      <c r="K19" s="408" t="s">
        <v>609</v>
      </c>
      <c r="N19" s="397"/>
    </row>
    <row r="20" spans="2:14" s="23" customFormat="1" ht="21" customHeight="1">
      <c r="B20" s="405" t="s">
        <v>253</v>
      </c>
      <c r="C20" s="486" t="s">
        <v>581</v>
      </c>
      <c r="D20" s="406"/>
      <c r="E20" s="407" t="s">
        <v>582</v>
      </c>
      <c r="G20" s="23" t="s">
        <v>253</v>
      </c>
      <c r="H20" s="23" t="s">
        <v>581</v>
      </c>
      <c r="J20" s="397" t="s">
        <v>582</v>
      </c>
      <c r="K20" s="408" t="s">
        <v>254</v>
      </c>
      <c r="L20" s="23" t="s">
        <v>584</v>
      </c>
      <c r="N20" s="397" t="s">
        <v>583</v>
      </c>
    </row>
    <row r="21" spans="2:14" s="23" customFormat="1" ht="25.5">
      <c r="B21" s="410">
        <v>41758</v>
      </c>
      <c r="C21" s="489" t="s">
        <v>618</v>
      </c>
      <c r="D21" s="401"/>
      <c r="E21" s="402" t="s">
        <v>639</v>
      </c>
      <c r="J21" s="397"/>
      <c r="K21" s="408"/>
      <c r="N21" s="397"/>
    </row>
    <row r="22" spans="2:14" s="23" customFormat="1" ht="12.75">
      <c r="B22" s="452">
        <v>41845</v>
      </c>
      <c r="C22" s="491" t="s">
        <v>618</v>
      </c>
      <c r="D22" s="453"/>
      <c r="E22" s="454" t="s">
        <v>641</v>
      </c>
      <c r="J22" s="397"/>
      <c r="K22" s="408"/>
      <c r="N22" s="397"/>
    </row>
    <row r="23" spans="2:14" s="23" customFormat="1" ht="12.75">
      <c r="B23" s="452">
        <v>41845</v>
      </c>
      <c r="C23" s="491" t="s">
        <v>610</v>
      </c>
      <c r="D23" s="453"/>
      <c r="E23" s="454" t="s">
        <v>642</v>
      </c>
      <c r="J23" s="397"/>
      <c r="K23" s="408"/>
      <c r="N23" s="397"/>
    </row>
    <row r="24" spans="2:14" s="23" customFormat="1" ht="12.75">
      <c r="B24" s="452">
        <v>41845</v>
      </c>
      <c r="C24" s="491" t="s">
        <v>610</v>
      </c>
      <c r="D24" s="453"/>
      <c r="E24" s="454" t="s">
        <v>646</v>
      </c>
      <c r="J24" s="397"/>
      <c r="K24" s="408"/>
      <c r="N24" s="397"/>
    </row>
    <row r="25" spans="2:14" s="23" customFormat="1" ht="12.75">
      <c r="B25" s="452">
        <v>41845</v>
      </c>
      <c r="C25" s="491" t="s">
        <v>644</v>
      </c>
      <c r="D25" s="453"/>
      <c r="E25" s="454" t="s">
        <v>647</v>
      </c>
      <c r="J25" s="397"/>
      <c r="K25" s="408"/>
      <c r="N25" s="397"/>
    </row>
    <row r="26" spans="2:14" s="23" customFormat="1" ht="12.75">
      <c r="B26" s="452">
        <v>41845</v>
      </c>
      <c r="C26" s="491" t="s">
        <v>644</v>
      </c>
      <c r="D26" s="453"/>
      <c r="E26" s="454" t="s">
        <v>645</v>
      </c>
      <c r="J26" s="397"/>
      <c r="K26" s="408"/>
      <c r="N26" s="397"/>
    </row>
    <row r="27" spans="2:14" s="23" customFormat="1" ht="12.75">
      <c r="B27" s="452">
        <v>41845</v>
      </c>
      <c r="C27" s="491" t="s">
        <v>517</v>
      </c>
      <c r="D27" s="453"/>
      <c r="E27" s="454" t="s">
        <v>637</v>
      </c>
      <c r="J27" s="397"/>
      <c r="K27" s="408"/>
      <c r="N27" s="397"/>
    </row>
    <row r="28" spans="2:14" s="23" customFormat="1" ht="25.5">
      <c r="B28" s="426">
        <v>41884</v>
      </c>
      <c r="C28" s="488" t="s">
        <v>587</v>
      </c>
      <c r="D28" s="403"/>
      <c r="E28" s="404" t="s">
        <v>649</v>
      </c>
      <c r="J28" s="397"/>
      <c r="K28" s="245"/>
      <c r="N28" s="397"/>
    </row>
    <row r="29" spans="2:14" s="23" customFormat="1" ht="26.25" customHeight="1">
      <c r="B29" s="398" t="s">
        <v>651</v>
      </c>
      <c r="C29" s="485"/>
      <c r="G29" s="23" t="s">
        <v>608</v>
      </c>
      <c r="J29" s="397"/>
      <c r="K29" s="408" t="s">
        <v>609</v>
      </c>
      <c r="N29" s="397"/>
    </row>
    <row r="30" spans="2:14" s="23" customFormat="1" ht="21" customHeight="1">
      <c r="B30" s="405" t="s">
        <v>253</v>
      </c>
      <c r="C30" s="486" t="s">
        <v>581</v>
      </c>
      <c r="D30" s="406"/>
      <c r="E30" s="407" t="s">
        <v>582</v>
      </c>
      <c r="G30" s="23" t="s">
        <v>253</v>
      </c>
      <c r="H30" s="23" t="s">
        <v>581</v>
      </c>
      <c r="J30" s="397" t="s">
        <v>582</v>
      </c>
      <c r="K30" s="408" t="s">
        <v>254</v>
      </c>
      <c r="L30" s="23" t="s">
        <v>584</v>
      </c>
      <c r="N30" s="397" t="s">
        <v>583</v>
      </c>
    </row>
    <row r="31" spans="2:14" s="23" customFormat="1" ht="12.75">
      <c r="B31" s="426">
        <v>41982</v>
      </c>
      <c r="C31" s="488" t="s">
        <v>652</v>
      </c>
      <c r="D31" s="403"/>
      <c r="E31" s="404" t="s">
        <v>653</v>
      </c>
      <c r="J31" s="397"/>
      <c r="K31" s="408"/>
      <c r="N31" s="397"/>
    </row>
    <row r="32" spans="2:14" s="23" customFormat="1" ht="26.25" customHeight="1">
      <c r="B32" s="398" t="s">
        <v>655</v>
      </c>
      <c r="C32" s="485"/>
      <c r="G32" s="23" t="s">
        <v>608</v>
      </c>
      <c r="J32" s="397"/>
      <c r="K32" s="408" t="s">
        <v>609</v>
      </c>
      <c r="N32" s="397"/>
    </row>
    <row r="33" spans="2:14" s="23" customFormat="1" ht="21" customHeight="1">
      <c r="B33" s="405" t="s">
        <v>253</v>
      </c>
      <c r="C33" s="486" t="s">
        <v>581</v>
      </c>
      <c r="D33" s="406"/>
      <c r="E33" s="407" t="s">
        <v>582</v>
      </c>
      <c r="G33" s="23" t="s">
        <v>253</v>
      </c>
      <c r="H33" s="23" t="s">
        <v>581</v>
      </c>
      <c r="J33" s="397" t="s">
        <v>582</v>
      </c>
      <c r="K33" s="408" t="s">
        <v>254</v>
      </c>
      <c r="L33" s="23" t="s">
        <v>584</v>
      </c>
      <c r="N33" s="397" t="s">
        <v>583</v>
      </c>
    </row>
    <row r="34" spans="2:14" s="23" customFormat="1" ht="12.75">
      <c r="B34" s="452">
        <v>42338</v>
      </c>
      <c r="C34" s="491" t="s">
        <v>587</v>
      </c>
      <c r="D34" s="453"/>
      <c r="E34" s="492" t="s">
        <v>656</v>
      </c>
      <c r="J34" s="397"/>
      <c r="K34" s="408"/>
      <c r="N34" s="397"/>
    </row>
    <row r="35" spans="2:14" s="23" customFormat="1" ht="39">
      <c r="B35" s="452">
        <v>42338</v>
      </c>
      <c r="C35" s="491" t="s">
        <v>671</v>
      </c>
      <c r="D35" s="453"/>
      <c r="E35" s="492" t="s">
        <v>669</v>
      </c>
      <c r="J35" s="397"/>
      <c r="K35" s="408"/>
      <c r="N35" s="397"/>
    </row>
    <row r="36" spans="2:14" s="23" customFormat="1" ht="39" customHeight="1">
      <c r="B36" s="426">
        <v>42632</v>
      </c>
      <c r="C36" s="488" t="s">
        <v>670</v>
      </c>
      <c r="D36" s="403"/>
      <c r="E36" s="493" t="s">
        <v>668</v>
      </c>
      <c r="J36" s="397"/>
      <c r="K36" s="245"/>
      <c r="N36" s="397"/>
    </row>
    <row r="37" spans="3:10" s="23" customFormat="1" ht="12">
      <c r="C37" s="485"/>
      <c r="J37" s="397"/>
    </row>
  </sheetData>
  <sheetProtection password="97A7" sheet="1" objects="1" scenarios="1" formatColumns="0" formatRow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3"/>
    <pageSetUpPr fitToPage="1"/>
  </sheetPr>
  <dimension ref="A1:Q62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5" zeroHeight="1"/>
  <cols>
    <col min="1" max="1" width="4.57421875" style="1" customWidth="1"/>
    <col min="2" max="2" width="45.8515625" style="1" bestFit="1" customWidth="1"/>
    <col min="3" max="3" width="25.57421875" style="1" customWidth="1"/>
    <col min="4" max="4" width="0.85546875" style="1" customWidth="1"/>
    <col min="5" max="16" width="10.140625" style="1" customWidth="1"/>
    <col min="17" max="17" width="5.8515625" style="1" customWidth="1"/>
    <col min="18" max="16384" width="9.140625" style="1" hidden="1" customWidth="1"/>
  </cols>
  <sheetData>
    <row r="1" spans="6:16" ht="23.25" customHeight="1">
      <c r="F1" s="9">
        <f>F16</f>
        <v>0</v>
      </c>
      <c r="G1" s="9">
        <f>G16</f>
        <v>1</v>
      </c>
      <c r="H1" s="9">
        <f aca="true" t="shared" si="0" ref="H1:P1">H16</f>
        <v>1</v>
      </c>
      <c r="I1" s="9">
        <f t="shared" si="0"/>
        <v>1</v>
      </c>
      <c r="J1" s="9">
        <f t="shared" si="0"/>
        <v>1</v>
      </c>
      <c r="K1" s="9">
        <f t="shared" si="0"/>
        <v>1</v>
      </c>
      <c r="L1" s="9">
        <f t="shared" si="0"/>
        <v>2</v>
      </c>
      <c r="M1" s="9">
        <f t="shared" si="0"/>
        <v>2</v>
      </c>
      <c r="N1" s="9">
        <f t="shared" si="0"/>
        <v>2</v>
      </c>
      <c r="O1" s="9">
        <f t="shared" si="0"/>
        <v>2</v>
      </c>
      <c r="P1" s="9">
        <f t="shared" si="0"/>
        <v>2</v>
      </c>
    </row>
    <row r="2" spans="2:16" ht="15">
      <c r="B2" s="2" t="str">
        <f>IF(CZ_EN=1,VLOOKUP("VSTUPY PRO OBĚ SLOŽKY",Slovnik,1,0),VLOOKUP("VSTUPY PRO OBĚ SLOŽKY",Slovnik,2,0))</f>
        <v>VSTUPY PRO OBĚ SLOŽKY</v>
      </c>
      <c r="C2" s="10" t="str">
        <f>IF(CZ_EN=1,VLOOKUP("rok",Slovnik,1,0),VLOOKUP("rok",Slovnik,2,0))</f>
        <v>rok</v>
      </c>
      <c r="D2" s="10"/>
      <c r="E2" s="204">
        <f>F2-1</f>
        <v>2020</v>
      </c>
      <c r="F2" s="279">
        <f>current</f>
        <v>2021</v>
      </c>
      <c r="G2" s="134">
        <f>F2+1</f>
        <v>2022</v>
      </c>
      <c r="H2" s="134">
        <f aca="true" t="shared" si="1" ref="H2:P2">G2+1</f>
        <v>2023</v>
      </c>
      <c r="I2" s="134">
        <f t="shared" si="1"/>
        <v>2024</v>
      </c>
      <c r="J2" s="134">
        <f t="shared" si="1"/>
        <v>2025</v>
      </c>
      <c r="K2" s="134">
        <f t="shared" si="1"/>
        <v>2026</v>
      </c>
      <c r="L2" s="134">
        <f t="shared" si="1"/>
        <v>2027</v>
      </c>
      <c r="M2" s="134">
        <f t="shared" si="1"/>
        <v>2028</v>
      </c>
      <c r="N2" s="134">
        <f t="shared" si="1"/>
        <v>2029</v>
      </c>
      <c r="O2" s="134">
        <f t="shared" si="1"/>
        <v>2030</v>
      </c>
      <c r="P2" s="134">
        <f t="shared" si="1"/>
        <v>2031</v>
      </c>
    </row>
    <row r="3" ht="15">
      <c r="B3" s="2"/>
    </row>
    <row r="4" spans="2:16" ht="14.25">
      <c r="B4" s="62" t="str">
        <f>IF(CZ_EN=1,VLOOKUP("A. Obecné",Slovnik,1,0),VLOOKUP("A. Obecné",Slovnik,2,0))</f>
        <v>A. Obecné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ht="14.25"/>
    <row r="6" spans="1:15" ht="14.25">
      <c r="A6" s="160"/>
      <c r="B6" s="3" t="str">
        <f>IF(CZ_EN=1,VLOOKUP("Výchozí rok",Slovnik,1,0),VLOOKUP("Výchozí rok",Slovnik,2,0))</f>
        <v>Výchozí rok</v>
      </c>
      <c r="C6" s="105">
        <v>2021</v>
      </c>
      <c r="F6" s="203" t="str">
        <f>IF(CZ_EN=1,VLOOKUP("Historický rok",Slovnik,1,0),VLOOKUP("Historický rok",Slovnik,2,0))</f>
        <v>Historický rok</v>
      </c>
      <c r="G6" s="203"/>
      <c r="H6" s="203"/>
      <c r="I6" s="203"/>
      <c r="J6" s="203"/>
      <c r="K6" s="203"/>
      <c r="M6" s="202"/>
      <c r="N6" s="202"/>
      <c r="O6" s="202"/>
    </row>
    <row r="7" spans="1:16" ht="14.25" customHeight="1">
      <c r="A7" s="160"/>
      <c r="B7" s="4" t="str">
        <f>IF(CZ_EN=1,VLOOKUP("Délka trvání cenové fixace",Slovnik,1,0),VLOOKUP("Délka trvání cenové fixace",Slovnik,2,0))</f>
        <v>Délka trvání cenové fixace</v>
      </c>
      <c r="C7" s="106">
        <v>5</v>
      </c>
      <c r="F7" s="283" t="str">
        <f>B6</f>
        <v>Výchozí rok</v>
      </c>
      <c r="G7" s="283"/>
      <c r="H7" s="283"/>
      <c r="I7" s="283"/>
      <c r="J7" s="283"/>
      <c r="K7" s="283"/>
      <c r="N7" s="201"/>
      <c r="O7" s="201"/>
      <c r="P7" s="201"/>
    </row>
    <row r="8" spans="1:16" ht="14.25">
      <c r="A8" s="160"/>
      <c r="B8" s="4" t="str">
        <f>IF(CZ_EN=1,VLOOKUP("Přístup k Očekávání",Slovnik,1,0),VLOOKUP("Přístup k Očekávání",Slovnik,2,0))</f>
        <v>Přístup k Očekávání</v>
      </c>
      <c r="C8" s="177">
        <v>1</v>
      </c>
      <c r="F8" s="284" t="str">
        <f>IF(CZ_EN=1,VLOOKUP("První období cenové fixace",Slovnik,1,0),VLOOKUP("První období cenové fixace",Slovnik,2,0))</f>
        <v>První období cenové fixace</v>
      </c>
      <c r="G8" s="284"/>
      <c r="H8" s="284"/>
      <c r="I8" s="284"/>
      <c r="J8" s="284"/>
      <c r="K8" s="284"/>
      <c r="M8" s="533" t="str">
        <f>IF(CZ_EN=1,VLOOKUP("Bílý text v buňkách těchto barev naznačuje vstupní údaj",Slovnik,1,0),VLOOKUP("Bílý text v buňkách těchto barev naznačuje vstupní údaj",Slovnik,2,0))</f>
        <v>Bílý text v buňkách těchto barev naznačuje vstupní údaj</v>
      </c>
      <c r="N8" s="534"/>
      <c r="O8" s="534"/>
      <c r="P8" s="201"/>
    </row>
    <row r="9" spans="1:15" ht="14.25">
      <c r="A9" s="160"/>
      <c r="B9" s="4" t="str">
        <f>CONCATENATE(IF(CZ_EN=1,VLOOKUP("Daň z příjmu právnických osob",Slovnik,1,0),VLOOKUP("Daň z příjmu právnických osob",Slovnik,2,0))," - ",IF(CZ_EN=1,VLOOKUP("sazba",Slovnik,1,0),VLOOKUP("sazba",Slovnik,2,0)))</f>
        <v>Daň z příjmu právnických osob - sazba</v>
      </c>
      <c r="C9" s="178">
        <v>0.19</v>
      </c>
      <c r="F9" s="285" t="str">
        <f>IF(CZ_EN=1,VLOOKUP("Druhé období cenové fixace",Slovnik,1,0),VLOOKUP("Druhé období cenové fixace",Slovnik,2,0))</f>
        <v>Druhé období cenové fixace</v>
      </c>
      <c r="G9" s="285"/>
      <c r="H9" s="285"/>
      <c r="I9" s="285"/>
      <c r="J9" s="285"/>
      <c r="K9" s="285"/>
      <c r="M9" s="534"/>
      <c r="N9" s="534"/>
      <c r="O9" s="534"/>
    </row>
    <row r="10" spans="1:17" ht="14.25" customHeight="1">
      <c r="A10" s="160"/>
      <c r="B10" s="4"/>
      <c r="C10" s="5"/>
      <c r="F10" s="6" t="str">
        <f>IF(CZ_EN=1,VLOOKUP("Přímé uživatelské vstupy",Slovnik,1,0),VLOOKUP("Přímé uživatelské vstupy",Slovnik,2,0))</f>
        <v>Přímé uživatelské vstupy</v>
      </c>
      <c r="G10" s="6"/>
      <c r="H10" s="6"/>
      <c r="I10" s="159"/>
      <c r="J10" s="6"/>
      <c r="K10" s="6"/>
      <c r="N10" s="201"/>
      <c r="O10" s="201"/>
      <c r="P10" s="201"/>
      <c r="Q10" s="201"/>
    </row>
    <row r="11" spans="1:17" ht="14.25" customHeight="1">
      <c r="A11" s="160"/>
      <c r="B11" s="4" t="str">
        <f>IF(CZ_EN=1,VLOOKUP("Standardní měřítko pro pohledávky (dny)",Slovnik,1,0),VLOOKUP("Standardní měřítko pro pohledávky (dny)",Slovnik,2,0))</f>
        <v>Standardní měřítko pro pohledávky (dny)</v>
      </c>
      <c r="C11" s="107">
        <v>90</v>
      </c>
      <c r="F11" s="7" t="str">
        <f>IF(CZ_EN=1,VLOOKUP("Uživatelské vstupy - přepis předvolených hodnot",Slovnik,1,0),VLOOKUP("Uživatelské vstupy - přepis předvolených hodnot",Slovnik,2,0))</f>
        <v>Uživatelské vstupy - přepis předvolených hodnot</v>
      </c>
      <c r="G11" s="7"/>
      <c r="H11" s="7"/>
      <c r="I11" s="7"/>
      <c r="J11" s="7"/>
      <c r="K11" s="7"/>
      <c r="M11" s="533" t="str">
        <f>IF(CZ_EN=1,VLOOKUP("Jakýkoliv text v buňkách těchto barev je vstupní údaj",Slovnik,1,0),VLOOKUP("Jakýkoliv text v buňkách těchto barev je vstupní údaj",Slovnik,2,0))</f>
        <v>Jakýkoliv text v buňkách těchto barev je vstupní údaj</v>
      </c>
      <c r="N11" s="534"/>
      <c r="O11" s="534"/>
      <c r="P11" s="201"/>
      <c r="Q11" s="201"/>
    </row>
    <row r="12" spans="1:15" ht="14.25">
      <c r="A12" s="160"/>
      <c r="B12" s="8" t="str">
        <f>IF(CZ_EN=1,VLOOKUP("Standardní měřítko pro závazky (dny)",Slovnik,1,0),VLOOKUP("Standardní měřítko pro závazky (dny)",Slovnik,2,0))</f>
        <v>Standardní měřítko pro závazky (dny)</v>
      </c>
      <c r="C12" s="108">
        <v>15</v>
      </c>
      <c r="F12" s="17" t="str">
        <f>IF(CZ_EN=1,VLOOKUP("Údaje mimo modelované období",Slovnik,1,0),VLOOKUP("Údaje mimo modelované období",Slovnik,2,0))</f>
        <v>Údaje mimo modelované období</v>
      </c>
      <c r="G12" s="16"/>
      <c r="H12" s="16"/>
      <c r="I12" s="16"/>
      <c r="J12" s="16"/>
      <c r="K12" s="16"/>
      <c r="M12" s="534"/>
      <c r="N12" s="534"/>
      <c r="O12" s="534"/>
    </row>
    <row r="13" spans="1:4" ht="13.5">
      <c r="A13" s="163"/>
      <c r="B13" s="29"/>
      <c r="C13" s="162"/>
      <c r="D13" s="163"/>
    </row>
    <row r="14" spans="2:7" ht="13.5">
      <c r="B14" s="3" t="str">
        <f>IF(CZ_EN=1,VLOOKUP("Vstup odpisů Provozního majetku do ceny",Slovnik,1,0),VLOOKUP("Vstup odpisů Provozního majetku do ceny",Slovnik,2,0))</f>
        <v>Vstup odpisů Provozního majetku do ceny</v>
      </c>
      <c r="C14" s="418"/>
      <c r="F14" s="143" t="s">
        <v>308</v>
      </c>
      <c r="G14" s="113" t="str">
        <f>IF(CZ_EN=1,VLOOKUP("Takto označené řádky vyžadují některé Přímé uživatelské vstupy",Slovnik,1,0),VLOOKUP("Takto označené řádky vyžadují některé Přímé uživatelské vstupy",Slovnik,2,0))</f>
        <v>Takto označené řádky vyžadují některé Přímé uživatelské vstupy</v>
      </c>
    </row>
    <row r="15" spans="2:3" ht="20.25" customHeight="1">
      <c r="B15" s="420"/>
      <c r="C15" s="425">
        <v>3</v>
      </c>
    </row>
    <row r="16" spans="2:16" ht="13.5">
      <c r="B16" s="171"/>
      <c r="C16" s="171"/>
      <c r="F16" s="9">
        <f aca="true" t="shared" si="2" ref="F16:P16">IF(F17=current,0,IF(F17&lt;=current+DoPCP,1,IF(F17&lt;=current+contr.life,2,3)))</f>
        <v>0</v>
      </c>
      <c r="G16" s="9">
        <f t="shared" si="2"/>
        <v>1</v>
      </c>
      <c r="H16" s="9">
        <f t="shared" si="2"/>
        <v>1</v>
      </c>
      <c r="I16" s="9">
        <f t="shared" si="2"/>
        <v>1</v>
      </c>
      <c r="J16" s="9">
        <f t="shared" si="2"/>
        <v>1</v>
      </c>
      <c r="K16" s="9">
        <f t="shared" si="2"/>
        <v>1</v>
      </c>
      <c r="L16" s="9">
        <f t="shared" si="2"/>
        <v>2</v>
      </c>
      <c r="M16" s="9">
        <f t="shared" si="2"/>
        <v>2</v>
      </c>
      <c r="N16" s="9">
        <f t="shared" si="2"/>
        <v>2</v>
      </c>
      <c r="O16" s="9">
        <f t="shared" si="2"/>
        <v>2</v>
      </c>
      <c r="P16" s="9">
        <f t="shared" si="2"/>
        <v>2</v>
      </c>
    </row>
    <row r="17" spans="3:16" ht="13.5">
      <c r="C17" s="10" t="str">
        <f>IF(CZ_EN=1,VLOOKUP("rok",Slovnik,1,0),VLOOKUP("rok",Slovnik,2,0))</f>
        <v>rok</v>
      </c>
      <c r="D17" s="10"/>
      <c r="E17" s="204">
        <f>F17-1</f>
        <v>2020</v>
      </c>
      <c r="F17" s="134">
        <f>current</f>
        <v>2021</v>
      </c>
      <c r="G17" s="134">
        <f>F17+1</f>
        <v>2022</v>
      </c>
      <c r="H17" s="134">
        <f aca="true" t="shared" si="3" ref="H17:P17">G17+1</f>
        <v>2023</v>
      </c>
      <c r="I17" s="134">
        <f t="shared" si="3"/>
        <v>2024</v>
      </c>
      <c r="J17" s="134">
        <f t="shared" si="3"/>
        <v>2025</v>
      </c>
      <c r="K17" s="134">
        <f t="shared" si="3"/>
        <v>2026</v>
      </c>
      <c r="L17" s="134">
        <f t="shared" si="3"/>
        <v>2027</v>
      </c>
      <c r="M17" s="134">
        <f t="shared" si="3"/>
        <v>2028</v>
      </c>
      <c r="N17" s="134">
        <f t="shared" si="3"/>
        <v>2029</v>
      </c>
      <c r="O17" s="134">
        <f t="shared" si="3"/>
        <v>2030</v>
      </c>
      <c r="P17" s="134">
        <f t="shared" si="3"/>
        <v>2031</v>
      </c>
    </row>
    <row r="18" spans="1:16" ht="13.5">
      <c r="A18" s="143" t="s">
        <v>308</v>
      </c>
      <c r="B18" s="15" t="str">
        <f>IF(CZ_EN=1,VLOOKUP("Odhad roční inflace",Slovnik,1,0),VLOOKUP("Odhad roční inflace",Slovnik,2,0))</f>
        <v>Odhad roční inflace</v>
      </c>
      <c r="C18" s="11"/>
      <c r="D18" s="11"/>
      <c r="E18" s="353">
        <v>0.014</v>
      </c>
      <c r="F18" s="180">
        <f>IF('[1]Vstupy ex ante'!E10=0,0,'[1]Vstupy ex ante'!F22/'[1]Vstupy ex ante'!E10-1)</f>
        <v>0.0129999999999999</v>
      </c>
      <c r="G18" s="180">
        <f>IF('[1]Vstupy ex ante'!F22=0,0,'[1]Vstupy ex ante'!G22/'[1]Vstupy ex ante'!F22-1)</f>
        <v>0.02299999999999991</v>
      </c>
      <c r="H18" s="180">
        <f>IF('[1]Vstupy ex ante'!G22=0,0,'[1]Vstupy ex ante'!H22/'[1]Vstupy ex ante'!G22-1)</f>
        <v>0.020000000000000018</v>
      </c>
      <c r="I18" s="180">
        <f>IF('[1]Vstupy ex ante'!H22=0,0,'[1]Vstupy ex ante'!I22/'[1]Vstupy ex ante'!H22-1)</f>
        <v>0.020000000000000018</v>
      </c>
      <c r="J18" s="180">
        <f>IF('[1]Vstupy ex ante'!I22=0,0,'[1]Vstupy ex ante'!J22/'[1]Vstupy ex ante'!I22-1)</f>
        <v>0.020000000000000018</v>
      </c>
      <c r="K18" s="180">
        <f>IF('[1]Vstupy ex ante'!J22=0,0,'[1]Vstupy ex ante'!K22/'[1]Vstupy ex ante'!J22-1)</f>
        <v>0.020000000000000018</v>
      </c>
      <c r="L18" s="180">
        <f>IF('[1]Vstupy ex ante'!K22=0,0,'[1]Vstupy ex ante'!L22/'[1]Vstupy ex ante'!K22-1)</f>
        <v>0.020000000000000018</v>
      </c>
      <c r="M18" s="180">
        <f>IF('[1]Vstupy ex ante'!L22=0,0,'[1]Vstupy ex ante'!M22/'[1]Vstupy ex ante'!L22-1)</f>
        <v>0.020000000000000018</v>
      </c>
      <c r="N18" s="180">
        <f>IF('[1]Vstupy ex ante'!M22=0,0,'[1]Vstupy ex ante'!N22/'[1]Vstupy ex ante'!M22-1)</f>
        <v>0.020000000000000018</v>
      </c>
      <c r="O18" s="180">
        <f>IF('[1]Vstupy ex ante'!N22=0,0,'[1]Vstupy ex ante'!O22/'[1]Vstupy ex ante'!N22-1)</f>
        <v>0.020000000000000018</v>
      </c>
      <c r="P18" s="180">
        <f>IF('[1]Vstupy ex ante'!O22=0,0,'[1]Vstupy ex ante'!P22/'[1]Vstupy ex ante'!O22-1)</f>
        <v>0.020000000000000018</v>
      </c>
    </row>
    <row r="19" spans="2:16" ht="13.5">
      <c r="B19" s="15" t="str">
        <f>IF(CZ_EN=1,VLOOKUP("Cenový index",Slovnik,1,0),VLOOKUP("Cenový index",Slovnik,2,0))</f>
        <v>Cenový index</v>
      </c>
      <c r="C19" s="11"/>
      <c r="D19" s="11"/>
      <c r="E19" s="183">
        <v>1</v>
      </c>
      <c r="F19" s="183">
        <v>1</v>
      </c>
      <c r="G19" s="12">
        <f>F19*(1+G18)</f>
        <v>1.023</v>
      </c>
      <c r="H19" s="12">
        <f aca="true" t="shared" si="4" ref="H19:P19">G19*(1+H18)</f>
        <v>1.0434599999999998</v>
      </c>
      <c r="I19" s="12">
        <f t="shared" si="4"/>
        <v>1.0643291999999998</v>
      </c>
      <c r="J19" s="12">
        <f t="shared" si="4"/>
        <v>1.0856157839999998</v>
      </c>
      <c r="K19" s="12">
        <f t="shared" si="4"/>
        <v>1.10732809968</v>
      </c>
      <c r="L19" s="12">
        <f t="shared" si="4"/>
        <v>1.1294746616736</v>
      </c>
      <c r="M19" s="12">
        <f t="shared" si="4"/>
        <v>1.152064154907072</v>
      </c>
      <c r="N19" s="12">
        <f t="shared" si="4"/>
        <v>1.1751054380052135</v>
      </c>
      <c r="O19" s="12">
        <f t="shared" si="4"/>
        <v>1.1986075467653179</v>
      </c>
      <c r="P19" s="12">
        <f t="shared" si="4"/>
        <v>1.2225796977006242</v>
      </c>
    </row>
    <row r="20" spans="2:16" ht="13.5">
      <c r="B20" s="44"/>
      <c r="C20" s="412" t="s">
        <v>594</v>
      </c>
      <c r="D20" s="11"/>
      <c r="E20" s="414">
        <f>SUM(F20:P20)</f>
        <v>0</v>
      </c>
      <c r="F20" s="413">
        <f>F18-IF('[1]Vstupy ex ante'!E10=0,0,'[1]Vstupy ex ante'!F22/'[1]Vstupy ex ante'!E10-1)</f>
        <v>0</v>
      </c>
      <c r="G20" s="413">
        <f>G18-IF('[1]Vstupy ex ante'!F22=0,0,'[1]Vstupy ex ante'!G22/'[1]Vstupy ex ante'!F22-1)</f>
        <v>0</v>
      </c>
      <c r="H20" s="413">
        <f>H18-IF('[1]Vstupy ex ante'!G22=0,0,'[1]Vstupy ex ante'!H22/'[1]Vstupy ex ante'!G22-1)</f>
        <v>0</v>
      </c>
      <c r="I20" s="413">
        <f>I18-IF('[1]Vstupy ex ante'!H22=0,0,'[1]Vstupy ex ante'!I22/'[1]Vstupy ex ante'!H22-1)</f>
        <v>0</v>
      </c>
      <c r="J20" s="413">
        <f>J18-IF('[1]Vstupy ex ante'!I22=0,0,'[1]Vstupy ex ante'!J22/'[1]Vstupy ex ante'!I22-1)</f>
        <v>0</v>
      </c>
      <c r="K20" s="413">
        <f>K18-IF('[1]Vstupy ex ante'!J22=0,0,'[1]Vstupy ex ante'!K22/'[1]Vstupy ex ante'!J22-1)</f>
        <v>0</v>
      </c>
      <c r="L20" s="413">
        <f>L18-IF('[1]Vstupy ex ante'!K22=0,0,'[1]Vstupy ex ante'!L22/'[1]Vstupy ex ante'!K22-1)</f>
        <v>0</v>
      </c>
      <c r="M20" s="413">
        <f>M18-IF('[1]Vstupy ex ante'!L22=0,0,'[1]Vstupy ex ante'!M22/'[1]Vstupy ex ante'!L22-1)</f>
        <v>0</v>
      </c>
      <c r="N20" s="413">
        <f>N18-IF('[1]Vstupy ex ante'!M22=0,0,'[1]Vstupy ex ante'!N22/'[1]Vstupy ex ante'!M22-1)</f>
        <v>0</v>
      </c>
      <c r="O20" s="413">
        <f>O18-IF('[1]Vstupy ex ante'!N22=0,0,'[1]Vstupy ex ante'!O22/'[1]Vstupy ex ante'!N22-1)</f>
        <v>0</v>
      </c>
      <c r="P20" s="413">
        <f>P18-IF('[1]Vstupy ex ante'!O22=0,0,'[1]Vstupy ex ante'!P22/'[1]Vstupy ex ante'!O22-1)</f>
        <v>0</v>
      </c>
    </row>
    <row r="21" spans="1:16" ht="13.5">
      <c r="A21" s="143" t="s">
        <v>308</v>
      </c>
      <c r="B21" s="15" t="str">
        <f>IF(CZ_EN=1,VLOOKUP("Úspěšnost výběru pohledávek",Slovnik,1,0),VLOOKUP("Úspěšnost výběru pohledávek",Slovnik,2,0))</f>
        <v>Úspěšnost výběru pohledávek</v>
      </c>
      <c r="C21" s="164" t="s">
        <v>67</v>
      </c>
      <c r="D21" s="165"/>
      <c r="E21" s="109">
        <f>'[2]Nabidka dodavatele'!$F$20</f>
        <v>0.998</v>
      </c>
      <c r="F21" s="110">
        <f aca="true" t="shared" si="5" ref="F21:P21">$E$21</f>
        <v>0.998</v>
      </c>
      <c r="G21" s="110">
        <f t="shared" si="5"/>
        <v>0.998</v>
      </c>
      <c r="H21" s="110">
        <f t="shared" si="5"/>
        <v>0.998</v>
      </c>
      <c r="I21" s="110">
        <f t="shared" si="5"/>
        <v>0.998</v>
      </c>
      <c r="J21" s="110">
        <f t="shared" si="5"/>
        <v>0.998</v>
      </c>
      <c r="K21" s="110">
        <f t="shared" si="5"/>
        <v>0.998</v>
      </c>
      <c r="L21" s="110">
        <f t="shared" si="5"/>
        <v>0.998</v>
      </c>
      <c r="M21" s="110">
        <f t="shared" si="5"/>
        <v>0.998</v>
      </c>
      <c r="N21" s="110">
        <f t="shared" si="5"/>
        <v>0.998</v>
      </c>
      <c r="O21" s="110">
        <f t="shared" si="5"/>
        <v>0.998</v>
      </c>
      <c r="P21" s="110">
        <f t="shared" si="5"/>
        <v>0.998</v>
      </c>
    </row>
    <row r="22" spans="2:6" ht="13.5">
      <c r="B22" s="13"/>
      <c r="C22" s="13"/>
      <c r="D22" s="13"/>
      <c r="E22" s="13"/>
      <c r="F22" s="13"/>
    </row>
    <row r="23" spans="2:16" ht="13.5">
      <c r="B23" s="62" t="str">
        <f>IF(CZ_EN=1,VLOOKUP("B. Provozní majetek (za celou společnost)",Slovnik,1,0),VLOOKUP("B. Provozní majetek (za celou společnost)",Slovnik,2,0))&amp;IF(C15=3," - "&amp;IF(CZ_EN=1,VLOOKUP("NEVYPLŇOVAT - vyplňují se listy Vstupy V/S!",Slovnik,1,0),VLOOKUP("NEVYPLŇOVAT - vyplňují se listy Vstupy V/S!",Slovnik,2,0)),)</f>
        <v>B. Provozní majetek (za celou společnost) - NEVYPLŇOVAT - vyplňují se listy Vstupy V/S!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6" ht="13.5">
      <c r="B24" s="13"/>
      <c r="C24" s="14"/>
      <c r="D24" s="14"/>
      <c r="E24" s="14"/>
      <c r="F24" s="13"/>
    </row>
    <row r="25" spans="1:16" ht="13.5">
      <c r="A25" s="143" t="s">
        <v>308</v>
      </c>
      <c r="B25" s="15" t="str">
        <f>IF(CZ_EN=1,VLOOKUP("Vstupní ReHoM",Slovnik,1,0),VLOOKUP("Vstupní ReHoM",Slovnik,2,0))</f>
        <v>Vstupní ReHoM</v>
      </c>
      <c r="C25" s="164" t="str">
        <f>'Vstupy V'!$D$6</f>
        <v>tis. Kč</v>
      </c>
      <c r="D25" s="165"/>
      <c r="E25" s="170"/>
      <c r="F25" s="32"/>
      <c r="G25" s="35"/>
      <c r="H25" s="35"/>
      <c r="I25" s="32"/>
      <c r="J25" s="32"/>
      <c r="K25" s="32"/>
      <c r="L25" s="32"/>
      <c r="M25" s="32"/>
      <c r="N25" s="32"/>
      <c r="O25" s="225" t="s">
        <v>403</v>
      </c>
      <c r="P25" s="226" t="s">
        <v>402</v>
      </c>
    </row>
    <row r="26" spans="2:17" ht="13.5">
      <c r="B26" s="14"/>
      <c r="C26" s="166"/>
      <c r="E26" s="372">
        <f>E2</f>
        <v>2020</v>
      </c>
      <c r="F26" s="372">
        <f aca="true" t="shared" si="6" ref="F26:P26">F2</f>
        <v>2021</v>
      </c>
      <c r="G26" s="372">
        <f t="shared" si="6"/>
        <v>2022</v>
      </c>
      <c r="H26" s="372">
        <f t="shared" si="6"/>
        <v>2023</v>
      </c>
      <c r="I26" s="372">
        <f t="shared" si="6"/>
        <v>2024</v>
      </c>
      <c r="J26" s="372">
        <f t="shared" si="6"/>
        <v>2025</v>
      </c>
      <c r="K26" s="372">
        <f t="shared" si="6"/>
        <v>2026</v>
      </c>
      <c r="L26" s="372">
        <f t="shared" si="6"/>
        <v>2027</v>
      </c>
      <c r="M26" s="372">
        <f t="shared" si="6"/>
        <v>2028</v>
      </c>
      <c r="N26" s="372">
        <f t="shared" si="6"/>
        <v>2029</v>
      </c>
      <c r="O26" s="372">
        <f t="shared" si="6"/>
        <v>2030</v>
      </c>
      <c r="P26" s="372">
        <f t="shared" si="6"/>
        <v>2031</v>
      </c>
      <c r="Q26" s="9">
        <f>Q27+Q29</f>
        <v>0</v>
      </c>
    </row>
    <row r="27" spans="1:17" ht="13.5">
      <c r="A27" s="143" t="s">
        <v>308</v>
      </c>
      <c r="B27" s="41" t="str">
        <f>'Vstupy V'!C35</f>
        <v>Účetní odpisy stávajícího majetku - Běžné ceny</v>
      </c>
      <c r="C27" s="168" t="str">
        <f>'Vstupy V'!$D$6</f>
        <v>tis. Kč</v>
      </c>
      <c r="D27" s="171"/>
      <c r="E27" s="20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9">
        <f>Q29+Q35+Q37+Q39+Q41+Q43+Q45+Q47+Q49+Q51+Q53+Q55</f>
        <v>0</v>
      </c>
    </row>
    <row r="28" spans="1:17" ht="13.5" hidden="1">
      <c r="A28" s="160"/>
      <c r="B28" s="184" t="str">
        <f>'Vstupy V'!$C$46</f>
        <v> jako % vstupní ceny</v>
      </c>
      <c r="C28" s="191" t="s">
        <v>67</v>
      </c>
      <c r="D28" s="163"/>
      <c r="E28" s="206">
        <v>0.39915333285499033</v>
      </c>
      <c r="F28" s="281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9"/>
    </row>
    <row r="29" spans="1:17" ht="13.5">
      <c r="A29" s="143" t="s">
        <v>308</v>
      </c>
      <c r="B29" s="44" t="str">
        <f>CONCATENATE(IF(CZ_EN=1,VLOOKUP("Regulatorní odpisy stávajícího majetku",Slovnik,1,0),VLOOKUP("Regulatorní odpisy stávajícího majetku",Slovnik,2,0))," - ",IF(CZ_EN=1,VLOOKUP("stálé ceny",Slovnik,1,0),VLOOKUP("stálé ceny",Slovnik,2,0)))</f>
        <v>Regulatorní odpisy stávajícího majetku - Stálé ceny</v>
      </c>
      <c r="C29" s="169" t="str">
        <f>'Vstupy V'!$D$6</f>
        <v>tis. Kč</v>
      </c>
      <c r="D29" s="163"/>
      <c r="E29" s="207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9">
        <f>IF(Q30&gt;1,1,0)</f>
        <v>0</v>
      </c>
    </row>
    <row r="30" spans="1:17" ht="13.5">
      <c r="A30" s="160"/>
      <c r="B30" s="186" t="str">
        <f>'Vstupy V'!$C$46</f>
        <v> jako % vstupní ceny</v>
      </c>
      <c r="C30" s="192" t="s">
        <v>67</v>
      </c>
      <c r="D30" s="172"/>
      <c r="E30" s="208">
        <f>IF($E$25=0,0,E29/$E$25)</f>
        <v>0</v>
      </c>
      <c r="F30" s="193">
        <f aca="true" t="shared" si="7" ref="F30:P30">IF($E$25=0,0,F29/$E$25)</f>
        <v>0</v>
      </c>
      <c r="G30" s="193">
        <f t="shared" si="7"/>
        <v>0</v>
      </c>
      <c r="H30" s="193">
        <f t="shared" si="7"/>
        <v>0</v>
      </c>
      <c r="I30" s="193">
        <f t="shared" si="7"/>
        <v>0</v>
      </c>
      <c r="J30" s="193">
        <f t="shared" si="7"/>
        <v>0</v>
      </c>
      <c r="K30" s="193">
        <f t="shared" si="7"/>
        <v>0</v>
      </c>
      <c r="L30" s="193">
        <f t="shared" si="7"/>
        <v>0</v>
      </c>
      <c r="M30" s="193">
        <f t="shared" si="7"/>
        <v>0</v>
      </c>
      <c r="N30" s="193">
        <f t="shared" si="7"/>
        <v>0</v>
      </c>
      <c r="O30" s="193">
        <f t="shared" si="7"/>
        <v>0</v>
      </c>
      <c r="P30" s="193">
        <f t="shared" si="7"/>
        <v>0</v>
      </c>
      <c r="Q30" s="230">
        <f>SUM(F30:P30)</f>
        <v>0</v>
      </c>
    </row>
    <row r="31" spans="2:17" ht="13.5">
      <c r="B31" s="13"/>
      <c r="C31" s="167"/>
      <c r="E31" s="13"/>
      <c r="F31" s="13"/>
      <c r="Q31" s="9"/>
    </row>
    <row r="32" spans="1:17" ht="13.5">
      <c r="A32" s="143" t="s">
        <v>308</v>
      </c>
      <c r="B32" s="15" t="str">
        <f>IF(CZ_EN=1,VLOOKUP("Investiční náklady",Slovnik,1,0),VLOOKUP("Investiční náklady",Slovnik,2,0))</f>
        <v>Investiční náklady</v>
      </c>
      <c r="C32" s="164" t="str">
        <f>'Vstupy V'!$D$6</f>
        <v>tis. Kč</v>
      </c>
      <c r="D32" s="165"/>
      <c r="E32" s="173"/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9"/>
    </row>
    <row r="33" spans="2:17" ht="13.5">
      <c r="B33" s="13"/>
      <c r="C33" s="167"/>
      <c r="E33" s="13"/>
      <c r="F33" s="13"/>
      <c r="Q33" s="9"/>
    </row>
    <row r="34" spans="1:17" ht="13.5">
      <c r="A34" s="18"/>
      <c r="B34" s="15" t="str">
        <f>IF(CZ_EN=1,VLOOKUP("Odpisy plánovaných investic",Slovnik,1,0),VLOOKUP("Odpisy plánovaných investic",Slovnik,2,0))</f>
        <v>Odpisy plánovaných investic</v>
      </c>
      <c r="C34" s="15"/>
      <c r="D34" s="40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9"/>
    </row>
    <row r="35" spans="1:17" ht="13.5">
      <c r="A35" s="143" t="s">
        <v>308</v>
      </c>
      <c r="B35" s="44" t="str">
        <f>CONCATENATE(Slovnik!$G$9,"  ",F17)</f>
        <v>uskutečněných v roce  2021</v>
      </c>
      <c r="C35" s="347">
        <f>$D$6</f>
        <v>0</v>
      </c>
      <c r="D35" s="341"/>
      <c r="E35" s="342"/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9">
        <f>IF(Q36&gt;1,1,0)</f>
        <v>0</v>
      </c>
    </row>
    <row r="36" spans="1:17" ht="13.5">
      <c r="A36" s="18"/>
      <c r="B36" s="327" t="str">
        <f>IF(CZ_EN=1,VLOOKUP(" jako % vstupní ceny",Slovnik,1,0),VLOOKUP(" jako % vstupní ceny",Slovnik,2,0))</f>
        <v> jako % vstupní ceny</v>
      </c>
      <c r="C36" s="348" t="s">
        <v>67</v>
      </c>
      <c r="D36" s="344"/>
      <c r="E36" s="345"/>
      <c r="F36" s="346">
        <f>IF($F$32=0,0,F35/$F$32)</f>
        <v>0</v>
      </c>
      <c r="G36" s="331">
        <f aca="true" t="shared" si="8" ref="G36:P36">IF($F$32=0,0,G35/$F$32)</f>
        <v>0</v>
      </c>
      <c r="H36" s="331">
        <f t="shared" si="8"/>
        <v>0</v>
      </c>
      <c r="I36" s="331">
        <f t="shared" si="8"/>
        <v>0</v>
      </c>
      <c r="J36" s="331">
        <f t="shared" si="8"/>
        <v>0</v>
      </c>
      <c r="K36" s="331">
        <f t="shared" si="8"/>
        <v>0</v>
      </c>
      <c r="L36" s="331">
        <f t="shared" si="8"/>
        <v>0</v>
      </c>
      <c r="M36" s="331">
        <f t="shared" si="8"/>
        <v>0</v>
      </c>
      <c r="N36" s="331">
        <f t="shared" si="8"/>
        <v>0</v>
      </c>
      <c r="O36" s="331">
        <f t="shared" si="8"/>
        <v>0</v>
      </c>
      <c r="P36" s="331">
        <f t="shared" si="8"/>
        <v>0</v>
      </c>
      <c r="Q36" s="230">
        <f>SUM(F36:P36)</f>
        <v>0</v>
      </c>
    </row>
    <row r="37" spans="1:17" ht="13.5">
      <c r="A37" s="143" t="s">
        <v>308</v>
      </c>
      <c r="B37" s="44" t="str">
        <f>CONCATENATE(Slovnik!$G$9,"  ",G17)</f>
        <v>uskutečněných v roce  2022</v>
      </c>
      <c r="C37" s="169" t="str">
        <f>'Vstupy V'!$D$6</f>
        <v>tis. Kč</v>
      </c>
      <c r="D37" s="163"/>
      <c r="E37" s="53"/>
      <c r="F37" s="53"/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9">
        <f>IF(Q38&gt;1,1,0)</f>
        <v>0</v>
      </c>
    </row>
    <row r="38" spans="1:17" ht="13.5">
      <c r="A38" s="18"/>
      <c r="B38" s="184" t="str">
        <f>'Vstupy V'!$C$46</f>
        <v> jako % vstupní ceny</v>
      </c>
      <c r="C38" s="191" t="s">
        <v>67</v>
      </c>
      <c r="D38" s="163"/>
      <c r="E38" s="53"/>
      <c r="F38" s="53"/>
      <c r="G38" s="188">
        <f>IF('Spolecne vstupy'!$G$32=0,0,G37/'Spolecne vstupy'!$G$32)</f>
        <v>0</v>
      </c>
      <c r="H38" s="188">
        <f>IF('Spolecne vstupy'!$G$32=0,0,H37/'Spolecne vstupy'!$G$32)</f>
        <v>0</v>
      </c>
      <c r="I38" s="188">
        <f>IF('Spolecne vstupy'!$G$32=0,0,I37/'Spolecne vstupy'!$G$32)</f>
        <v>0</v>
      </c>
      <c r="J38" s="188">
        <f>IF('Spolecne vstupy'!$G$32=0,0,J37/'Spolecne vstupy'!$G$32)</f>
        <v>0</v>
      </c>
      <c r="K38" s="188">
        <f>IF('Spolecne vstupy'!$G$32=0,0,K37/'Spolecne vstupy'!$G$32)</f>
        <v>0</v>
      </c>
      <c r="L38" s="188">
        <f>IF('Spolecne vstupy'!$G$32=0,0,L37/'Spolecne vstupy'!$G$32)</f>
        <v>0</v>
      </c>
      <c r="M38" s="188">
        <f>IF('Spolecne vstupy'!$G$32=0,0,M37/'Spolecne vstupy'!$G$32)</f>
        <v>0</v>
      </c>
      <c r="N38" s="188">
        <f>IF('Spolecne vstupy'!$G$32=0,0,N37/'Spolecne vstupy'!$G$32)</f>
        <v>0</v>
      </c>
      <c r="O38" s="188">
        <f>IF('Spolecne vstupy'!$G$32=0,0,O37/'Spolecne vstupy'!$G$32)</f>
        <v>0</v>
      </c>
      <c r="P38" s="188">
        <f>IF('Spolecne vstupy'!$G$32=0,0,P37/'Spolecne vstupy'!$G$32)</f>
        <v>0</v>
      </c>
      <c r="Q38" s="230">
        <f>SUM(F38:P38)</f>
        <v>0</v>
      </c>
    </row>
    <row r="39" spans="1:17" ht="13.5">
      <c r="A39" s="143" t="s">
        <v>308</v>
      </c>
      <c r="B39" s="333" t="str">
        <f>CONCATENATE(Slovnik!$G$9,"  ",H17)</f>
        <v>uskutečněných v roce  2023</v>
      </c>
      <c r="C39" s="334" t="str">
        <f>'Vstupy V'!$D$6</f>
        <v>tis. Kč</v>
      </c>
      <c r="D39" s="335"/>
      <c r="E39" s="336"/>
      <c r="F39" s="336"/>
      <c r="G39" s="337"/>
      <c r="H39" s="338">
        <v>0</v>
      </c>
      <c r="I39" s="338">
        <v>0</v>
      </c>
      <c r="J39" s="338">
        <v>0</v>
      </c>
      <c r="K39" s="338">
        <v>0</v>
      </c>
      <c r="L39" s="338">
        <v>0</v>
      </c>
      <c r="M39" s="338">
        <v>0</v>
      </c>
      <c r="N39" s="338">
        <v>0</v>
      </c>
      <c r="O39" s="338">
        <v>0</v>
      </c>
      <c r="P39" s="338">
        <v>0</v>
      </c>
      <c r="Q39" s="9">
        <f>IF(Q40&gt;1,1,0)</f>
        <v>0</v>
      </c>
    </row>
    <row r="40" spans="1:17" ht="13.5">
      <c r="A40" s="18"/>
      <c r="B40" s="327" t="str">
        <f>'Vstupy V'!$C$46</f>
        <v> jako % vstupní ceny</v>
      </c>
      <c r="C40" s="328" t="s">
        <v>67</v>
      </c>
      <c r="D40" s="329"/>
      <c r="E40" s="330"/>
      <c r="F40" s="330"/>
      <c r="G40" s="332"/>
      <c r="H40" s="331">
        <f>IF('Spolecne vstupy'!$H$32=0,0,H39/'Spolecne vstupy'!$H$32)</f>
        <v>0</v>
      </c>
      <c r="I40" s="331">
        <f>IF('Spolecne vstupy'!$H$32=0,0,I39/'Spolecne vstupy'!$H$32)</f>
        <v>0</v>
      </c>
      <c r="J40" s="331">
        <f>IF('Spolecne vstupy'!$H$32=0,0,J39/'Spolecne vstupy'!$H$32)</f>
        <v>0</v>
      </c>
      <c r="K40" s="331">
        <f>IF('Spolecne vstupy'!$H$32=0,0,K39/'Spolecne vstupy'!$H$32)</f>
        <v>0</v>
      </c>
      <c r="L40" s="331">
        <f>IF('Spolecne vstupy'!$H$32=0,0,L39/'Spolecne vstupy'!$H$32)</f>
        <v>0</v>
      </c>
      <c r="M40" s="331">
        <f>IF('Spolecne vstupy'!$H$32=0,0,M39/'Spolecne vstupy'!$H$32)</f>
        <v>0</v>
      </c>
      <c r="N40" s="331">
        <f>IF('Spolecne vstupy'!$H$32=0,0,N39/'Spolecne vstupy'!$H$32)</f>
        <v>0</v>
      </c>
      <c r="O40" s="331">
        <f>IF('Spolecne vstupy'!$H$32=0,0,O39/'Spolecne vstupy'!$H$32)</f>
        <v>0</v>
      </c>
      <c r="P40" s="331">
        <f>IF('Spolecne vstupy'!$H$32=0,0,P39/'Spolecne vstupy'!$H$32)</f>
        <v>0</v>
      </c>
      <c r="Q40" s="230">
        <f>SUM(F40:P40)</f>
        <v>0</v>
      </c>
    </row>
    <row r="41" spans="1:17" ht="13.5">
      <c r="A41" s="143" t="s">
        <v>308</v>
      </c>
      <c r="B41" s="333" t="str">
        <f>CONCATENATE(Slovnik!$G$9,"  ",I17)</f>
        <v>uskutečněných v roce  2024</v>
      </c>
      <c r="C41" s="334" t="str">
        <f>'Vstupy V'!$D$6</f>
        <v>tis. Kč</v>
      </c>
      <c r="D41" s="335"/>
      <c r="E41" s="336"/>
      <c r="F41" s="336"/>
      <c r="G41" s="337"/>
      <c r="H41" s="337"/>
      <c r="I41" s="338">
        <v>0</v>
      </c>
      <c r="J41" s="338">
        <v>0</v>
      </c>
      <c r="K41" s="338">
        <v>0</v>
      </c>
      <c r="L41" s="338">
        <v>0</v>
      </c>
      <c r="M41" s="338">
        <v>0</v>
      </c>
      <c r="N41" s="338">
        <v>0</v>
      </c>
      <c r="O41" s="338">
        <v>0</v>
      </c>
      <c r="P41" s="338">
        <v>0</v>
      </c>
      <c r="Q41" s="9">
        <f>IF(Q42&gt;1,1,0)</f>
        <v>0</v>
      </c>
    </row>
    <row r="42" spans="1:17" ht="13.5">
      <c r="A42" s="18"/>
      <c r="B42" s="327" t="str">
        <f>'Vstupy V'!$C$46</f>
        <v> jako % vstupní ceny</v>
      </c>
      <c r="C42" s="328" t="s">
        <v>67</v>
      </c>
      <c r="D42" s="329"/>
      <c r="E42" s="330"/>
      <c r="F42" s="330"/>
      <c r="G42" s="332"/>
      <c r="H42" s="332"/>
      <c r="I42" s="331">
        <f>IF('Spolecne vstupy'!$I$32=0,0,I41/'Spolecne vstupy'!$I$32)</f>
        <v>0</v>
      </c>
      <c r="J42" s="331">
        <f>IF('Spolecne vstupy'!$I$32=0,0,J41/'Spolecne vstupy'!$I$32)</f>
        <v>0</v>
      </c>
      <c r="K42" s="331">
        <f>IF('Spolecne vstupy'!$I$32=0,0,K41/'Spolecne vstupy'!$I$32)</f>
        <v>0</v>
      </c>
      <c r="L42" s="331">
        <f>IF('Spolecne vstupy'!$I$32=0,0,L41/'Spolecne vstupy'!$I$32)</f>
        <v>0</v>
      </c>
      <c r="M42" s="331">
        <f>IF('Spolecne vstupy'!$I$32=0,0,M41/'Spolecne vstupy'!$I$32)</f>
        <v>0</v>
      </c>
      <c r="N42" s="331">
        <f>IF('Spolecne vstupy'!$I$32=0,0,N41/'Spolecne vstupy'!$I$32)</f>
        <v>0</v>
      </c>
      <c r="O42" s="331">
        <f>IF('Spolecne vstupy'!$I$32=0,0,O41/'Spolecne vstupy'!$I$32)</f>
        <v>0</v>
      </c>
      <c r="P42" s="331">
        <f>IF('Spolecne vstupy'!$I$32=0,0,P41/'Spolecne vstupy'!$I$32)</f>
        <v>0</v>
      </c>
      <c r="Q42" s="230">
        <f>SUM(F42:P42)</f>
        <v>0</v>
      </c>
    </row>
    <row r="43" spans="1:17" ht="13.5">
      <c r="A43" s="143" t="s">
        <v>308</v>
      </c>
      <c r="B43" s="333" t="str">
        <f>CONCATENATE(Slovnik!$G$9,"  ",J17)</f>
        <v>uskutečněných v roce  2025</v>
      </c>
      <c r="C43" s="334" t="str">
        <f>'Vstupy V'!$D$6</f>
        <v>tis. Kč</v>
      </c>
      <c r="D43" s="335"/>
      <c r="E43" s="336"/>
      <c r="F43" s="336"/>
      <c r="G43" s="337"/>
      <c r="H43" s="337"/>
      <c r="I43" s="337"/>
      <c r="J43" s="338">
        <v>0</v>
      </c>
      <c r="K43" s="338">
        <v>0</v>
      </c>
      <c r="L43" s="338">
        <v>0</v>
      </c>
      <c r="M43" s="338">
        <v>0</v>
      </c>
      <c r="N43" s="338">
        <v>0</v>
      </c>
      <c r="O43" s="338">
        <v>0</v>
      </c>
      <c r="P43" s="338">
        <v>0</v>
      </c>
      <c r="Q43" s="9">
        <f>IF(Q44&gt;1,1,0)</f>
        <v>0</v>
      </c>
    </row>
    <row r="44" spans="1:17" ht="13.5">
      <c r="A44" s="18"/>
      <c r="B44" s="327" t="str">
        <f>'Vstupy V'!$C$46</f>
        <v> jako % vstupní ceny</v>
      </c>
      <c r="C44" s="328" t="s">
        <v>67</v>
      </c>
      <c r="D44" s="329"/>
      <c r="E44" s="330"/>
      <c r="F44" s="330"/>
      <c r="G44" s="332"/>
      <c r="H44" s="332"/>
      <c r="I44" s="332"/>
      <c r="J44" s="331">
        <f>IF('Spolecne vstupy'!$J$32=0,0,J43/'Spolecne vstupy'!$J$32)</f>
        <v>0</v>
      </c>
      <c r="K44" s="331">
        <f>IF('Spolecne vstupy'!$J$32=0,0,K43/'Spolecne vstupy'!$J$32)</f>
        <v>0</v>
      </c>
      <c r="L44" s="331">
        <f>IF('Spolecne vstupy'!$J$32=0,0,L43/'Spolecne vstupy'!$J$32)</f>
        <v>0</v>
      </c>
      <c r="M44" s="331">
        <f>IF('Spolecne vstupy'!$J$32=0,0,M43/'Spolecne vstupy'!$J$32)</f>
        <v>0</v>
      </c>
      <c r="N44" s="331">
        <f>IF('Spolecne vstupy'!$J$32=0,0,N43/'Spolecne vstupy'!$J$32)</f>
        <v>0</v>
      </c>
      <c r="O44" s="331">
        <f>IF('Spolecne vstupy'!$J$32=0,0,O43/'Spolecne vstupy'!$J$32)</f>
        <v>0</v>
      </c>
      <c r="P44" s="331">
        <f>IF('Spolecne vstupy'!$J$32=0,0,P43/'Spolecne vstupy'!$J$32)</f>
        <v>0</v>
      </c>
      <c r="Q44" s="230">
        <f>SUM(F44:P44)</f>
        <v>0</v>
      </c>
    </row>
    <row r="45" spans="1:17" ht="13.5">
      <c r="A45" s="143" t="s">
        <v>308</v>
      </c>
      <c r="B45" s="333" t="str">
        <f>CONCATENATE(Slovnik!$G$9,"  ",K17)</f>
        <v>uskutečněných v roce  2026</v>
      </c>
      <c r="C45" s="334" t="str">
        <f>'Vstupy V'!$D$6</f>
        <v>tis. Kč</v>
      </c>
      <c r="D45" s="335"/>
      <c r="E45" s="336"/>
      <c r="F45" s="336"/>
      <c r="G45" s="337"/>
      <c r="H45" s="337"/>
      <c r="I45" s="337"/>
      <c r="J45" s="337"/>
      <c r="K45" s="338">
        <v>0</v>
      </c>
      <c r="L45" s="338">
        <v>0</v>
      </c>
      <c r="M45" s="338">
        <v>0</v>
      </c>
      <c r="N45" s="338">
        <v>0</v>
      </c>
      <c r="O45" s="338">
        <v>0</v>
      </c>
      <c r="P45" s="338">
        <v>0</v>
      </c>
      <c r="Q45" s="9">
        <f>IF(Q46&gt;1,1,0)</f>
        <v>0</v>
      </c>
    </row>
    <row r="46" spans="1:17" ht="13.5">
      <c r="A46" s="18"/>
      <c r="B46" s="327" t="str">
        <f>'Vstupy V'!$C$46</f>
        <v> jako % vstupní ceny</v>
      </c>
      <c r="C46" s="328" t="s">
        <v>67</v>
      </c>
      <c r="D46" s="329"/>
      <c r="E46" s="330"/>
      <c r="F46" s="330"/>
      <c r="G46" s="332"/>
      <c r="H46" s="332"/>
      <c r="I46" s="332"/>
      <c r="J46" s="332"/>
      <c r="K46" s="331">
        <f>IF('Spolecne vstupy'!$K$32=0,0,K45/'Spolecne vstupy'!$K$32)</f>
        <v>0</v>
      </c>
      <c r="L46" s="331">
        <f>IF('Spolecne vstupy'!$K$32=0,0,L45/'Spolecne vstupy'!$K$32)</f>
        <v>0</v>
      </c>
      <c r="M46" s="331">
        <f>IF('Spolecne vstupy'!$K$32=0,0,M45/'Spolecne vstupy'!$K$32)</f>
        <v>0</v>
      </c>
      <c r="N46" s="331">
        <f>IF('Spolecne vstupy'!$K$32=0,0,N45/'Spolecne vstupy'!$K$32)</f>
        <v>0</v>
      </c>
      <c r="O46" s="331">
        <f>IF('Spolecne vstupy'!$K$32=0,0,O45/'Spolecne vstupy'!$K$32)</f>
        <v>0</v>
      </c>
      <c r="P46" s="331">
        <f>IF('Spolecne vstupy'!$K$32=0,0,P45/'Spolecne vstupy'!$K$32)</f>
        <v>0</v>
      </c>
      <c r="Q46" s="230">
        <f>SUM(F46:P46)</f>
        <v>0</v>
      </c>
    </row>
    <row r="47" spans="1:17" ht="13.5">
      <c r="A47" s="143" t="s">
        <v>308</v>
      </c>
      <c r="B47" s="333" t="str">
        <f>CONCATENATE(Slovnik!$G$9,"  ",L17)</f>
        <v>uskutečněných v roce  2027</v>
      </c>
      <c r="C47" s="334" t="str">
        <f>'Vstupy V'!$D$6</f>
        <v>tis. Kč</v>
      </c>
      <c r="D47" s="335"/>
      <c r="E47" s="336"/>
      <c r="F47" s="336"/>
      <c r="G47" s="337"/>
      <c r="H47" s="337"/>
      <c r="I47" s="337"/>
      <c r="J47" s="337"/>
      <c r="K47" s="337"/>
      <c r="L47" s="338">
        <v>0</v>
      </c>
      <c r="M47" s="338">
        <v>0</v>
      </c>
      <c r="N47" s="338">
        <v>0</v>
      </c>
      <c r="O47" s="338">
        <v>0</v>
      </c>
      <c r="P47" s="338">
        <v>0</v>
      </c>
      <c r="Q47" s="9">
        <f>IF(Q48&gt;1,1,0)</f>
        <v>0</v>
      </c>
    </row>
    <row r="48" spans="1:17" ht="13.5">
      <c r="A48" s="18"/>
      <c r="B48" s="327" t="str">
        <f>'Vstupy V'!$C$46</f>
        <v> jako % vstupní ceny</v>
      </c>
      <c r="C48" s="328" t="s">
        <v>67</v>
      </c>
      <c r="D48" s="329"/>
      <c r="E48" s="330"/>
      <c r="F48" s="330"/>
      <c r="G48" s="332"/>
      <c r="H48" s="332"/>
      <c r="I48" s="332"/>
      <c r="J48" s="332"/>
      <c r="K48" s="332"/>
      <c r="L48" s="331">
        <f>IF('Spolecne vstupy'!$L$32=0,0,L47/'Spolecne vstupy'!$L$32)</f>
        <v>0</v>
      </c>
      <c r="M48" s="331">
        <f>IF('Spolecne vstupy'!$L$32=0,0,M47/'Spolecne vstupy'!$L$32)</f>
        <v>0</v>
      </c>
      <c r="N48" s="331">
        <f>IF('Spolecne vstupy'!$L$32=0,0,N47/'Spolecne vstupy'!$L$32)</f>
        <v>0</v>
      </c>
      <c r="O48" s="331">
        <f>IF('Spolecne vstupy'!$L$32=0,0,O47/'Spolecne vstupy'!$L$32)</f>
        <v>0</v>
      </c>
      <c r="P48" s="331">
        <f>IF('Spolecne vstupy'!$L$32=0,0,P47/'Spolecne vstupy'!$L$32)</f>
        <v>0</v>
      </c>
      <c r="Q48" s="230">
        <f>SUM(F48:P48)</f>
        <v>0</v>
      </c>
    </row>
    <row r="49" spans="1:17" ht="13.5">
      <c r="A49" s="143" t="s">
        <v>308</v>
      </c>
      <c r="B49" s="333" t="str">
        <f>CONCATENATE(Slovnik!$G$9,"  ",M17)</f>
        <v>uskutečněných v roce  2028</v>
      </c>
      <c r="C49" s="334" t="str">
        <f>'Vstupy V'!$D$6</f>
        <v>tis. Kč</v>
      </c>
      <c r="D49" s="335"/>
      <c r="E49" s="336"/>
      <c r="F49" s="336"/>
      <c r="G49" s="337"/>
      <c r="H49" s="337"/>
      <c r="I49" s="337"/>
      <c r="J49" s="337"/>
      <c r="K49" s="337"/>
      <c r="L49" s="337"/>
      <c r="M49" s="338">
        <v>0</v>
      </c>
      <c r="N49" s="338">
        <v>0</v>
      </c>
      <c r="O49" s="338">
        <v>0</v>
      </c>
      <c r="P49" s="338">
        <v>0</v>
      </c>
      <c r="Q49" s="9">
        <f>IF(Q50&gt;1,1,0)</f>
        <v>0</v>
      </c>
    </row>
    <row r="50" spans="1:17" ht="13.5">
      <c r="A50" s="18"/>
      <c r="B50" s="327" t="str">
        <f>'Vstupy V'!$C$46</f>
        <v> jako % vstupní ceny</v>
      </c>
      <c r="C50" s="328" t="s">
        <v>67</v>
      </c>
      <c r="D50" s="329"/>
      <c r="E50" s="330"/>
      <c r="F50" s="330"/>
      <c r="G50" s="332"/>
      <c r="H50" s="332"/>
      <c r="I50" s="332"/>
      <c r="J50" s="332"/>
      <c r="K50" s="332"/>
      <c r="L50" s="332"/>
      <c r="M50" s="331">
        <f>IF('Spolecne vstupy'!$M$32=0,0,M49/'Spolecne vstupy'!$M$32)</f>
        <v>0</v>
      </c>
      <c r="N50" s="331">
        <f>IF('Spolecne vstupy'!$M$32=0,0,N49/'Spolecne vstupy'!$M$32)</f>
        <v>0</v>
      </c>
      <c r="O50" s="331">
        <f>IF('Spolecne vstupy'!$M$32=0,0,O49/'Spolecne vstupy'!$M$32)</f>
        <v>0</v>
      </c>
      <c r="P50" s="331">
        <f>IF('Spolecne vstupy'!$M$32=0,0,P49/'Spolecne vstupy'!$M$32)</f>
        <v>0</v>
      </c>
      <c r="Q50" s="230">
        <f>SUM(F50:P50)</f>
        <v>0</v>
      </c>
    </row>
    <row r="51" spans="1:17" ht="13.5">
      <c r="A51" s="143" t="s">
        <v>308</v>
      </c>
      <c r="B51" s="333" t="str">
        <f>CONCATENATE(Slovnik!$G$9,"  ",N17)</f>
        <v>uskutečněných v roce  2029</v>
      </c>
      <c r="C51" s="334" t="str">
        <f>'Vstupy V'!$D$6</f>
        <v>tis. Kč</v>
      </c>
      <c r="D51" s="335"/>
      <c r="E51" s="336"/>
      <c r="F51" s="336"/>
      <c r="G51" s="337"/>
      <c r="H51" s="337"/>
      <c r="I51" s="337"/>
      <c r="J51" s="337"/>
      <c r="K51" s="337"/>
      <c r="L51" s="337"/>
      <c r="M51" s="337"/>
      <c r="N51" s="338">
        <v>0</v>
      </c>
      <c r="O51" s="338">
        <v>0</v>
      </c>
      <c r="P51" s="338">
        <v>0</v>
      </c>
      <c r="Q51" s="9">
        <f>IF(Q52&gt;1,1,0)</f>
        <v>0</v>
      </c>
    </row>
    <row r="52" spans="1:17" ht="13.5">
      <c r="A52" s="18"/>
      <c r="B52" s="327" t="str">
        <f>'Vstupy V'!$C$46</f>
        <v> jako % vstupní ceny</v>
      </c>
      <c r="C52" s="328" t="s">
        <v>67</v>
      </c>
      <c r="D52" s="329"/>
      <c r="E52" s="330"/>
      <c r="F52" s="330"/>
      <c r="G52" s="332"/>
      <c r="H52" s="332"/>
      <c r="I52" s="332"/>
      <c r="J52" s="332"/>
      <c r="K52" s="332"/>
      <c r="L52" s="332"/>
      <c r="M52" s="332"/>
      <c r="N52" s="331">
        <f>IF('Spolecne vstupy'!$N$32=0,0,N51/'Spolecne vstupy'!$N$32)</f>
        <v>0</v>
      </c>
      <c r="O52" s="331">
        <f>IF('Spolecne vstupy'!$N$32=0,0,O51/'Spolecne vstupy'!$N$32)</f>
        <v>0</v>
      </c>
      <c r="P52" s="331">
        <f>IF('Spolecne vstupy'!$N$32=0,0,P51/'Spolecne vstupy'!$N$32)</f>
        <v>0</v>
      </c>
      <c r="Q52" s="230">
        <f>SUM(F52:P52)</f>
        <v>0</v>
      </c>
    </row>
    <row r="53" spans="1:17" ht="13.5">
      <c r="A53" s="143" t="s">
        <v>308</v>
      </c>
      <c r="B53" s="333" t="str">
        <f>CONCATENATE(Slovnik!$G$9,"  ",O17)</f>
        <v>uskutečněných v roce  2030</v>
      </c>
      <c r="C53" s="334" t="str">
        <f>'Vstupy V'!$D$6</f>
        <v>tis. Kč</v>
      </c>
      <c r="D53" s="335"/>
      <c r="E53" s="336"/>
      <c r="F53" s="336"/>
      <c r="G53" s="337"/>
      <c r="H53" s="337"/>
      <c r="I53" s="337"/>
      <c r="J53" s="337"/>
      <c r="K53" s="337"/>
      <c r="L53" s="337"/>
      <c r="M53" s="337"/>
      <c r="N53" s="337"/>
      <c r="O53" s="338">
        <v>0</v>
      </c>
      <c r="P53" s="338">
        <v>0</v>
      </c>
      <c r="Q53" s="9">
        <f>IF(Q54&gt;1,1,0)</f>
        <v>0</v>
      </c>
    </row>
    <row r="54" spans="1:17" ht="13.5">
      <c r="A54" s="18"/>
      <c r="B54" s="327" t="str">
        <f>'Vstupy V'!$C$46</f>
        <v> jako % vstupní ceny</v>
      </c>
      <c r="C54" s="328" t="s">
        <v>67</v>
      </c>
      <c r="D54" s="329"/>
      <c r="E54" s="330"/>
      <c r="F54" s="330"/>
      <c r="G54" s="332"/>
      <c r="H54" s="332"/>
      <c r="I54" s="332"/>
      <c r="J54" s="332"/>
      <c r="K54" s="332"/>
      <c r="L54" s="332"/>
      <c r="M54" s="332"/>
      <c r="N54" s="332"/>
      <c r="O54" s="331">
        <f>IF('Spolecne vstupy'!$O$32=0,0,O53/'Spolecne vstupy'!$O$32)</f>
        <v>0</v>
      </c>
      <c r="P54" s="331">
        <f>IF('Spolecne vstupy'!$O$32=0,0,P53/'Spolecne vstupy'!$O$32)</f>
        <v>0</v>
      </c>
      <c r="Q54" s="230">
        <f>SUM(F54:P54)</f>
        <v>0</v>
      </c>
    </row>
    <row r="55" spans="1:17" ht="13.5">
      <c r="A55" s="143" t="s">
        <v>308</v>
      </c>
      <c r="B55" s="44" t="str">
        <f>CONCATENATE(Slovnik!$G$9,"  ",P17)</f>
        <v>uskutečněných v roce  2031</v>
      </c>
      <c r="C55" s="169" t="str">
        <f>'Vstupy V'!$D$6</f>
        <v>tis. Kč</v>
      </c>
      <c r="D55" s="163"/>
      <c r="E55" s="53"/>
      <c r="F55" s="53"/>
      <c r="G55" s="30"/>
      <c r="H55" s="30"/>
      <c r="I55" s="30"/>
      <c r="J55" s="30"/>
      <c r="K55" s="30"/>
      <c r="L55" s="30"/>
      <c r="M55" s="30"/>
      <c r="N55" s="30"/>
      <c r="O55" s="30"/>
      <c r="P55" s="176">
        <v>0</v>
      </c>
      <c r="Q55" s="9">
        <f>IF(Q56&gt;1,1,0)</f>
        <v>0</v>
      </c>
    </row>
    <row r="56" spans="1:17" ht="13.5">
      <c r="A56" s="18"/>
      <c r="B56" s="184" t="str">
        <f>'Vstupy V'!$C$46</f>
        <v> jako % vstupní ceny</v>
      </c>
      <c r="C56" s="191" t="s">
        <v>67</v>
      </c>
      <c r="D56" s="163"/>
      <c r="E56" s="53"/>
      <c r="F56" s="53"/>
      <c r="G56" s="50"/>
      <c r="H56" s="50"/>
      <c r="I56" s="50"/>
      <c r="J56" s="50"/>
      <c r="K56" s="50"/>
      <c r="L56" s="50"/>
      <c r="M56" s="50"/>
      <c r="N56" s="50"/>
      <c r="O56" s="50"/>
      <c r="P56" s="188">
        <f>IF('Spolecne vstupy'!$P$32=0,0,P55/'Spolecne vstupy'!$P$32)</f>
        <v>0</v>
      </c>
      <c r="Q56" s="230">
        <f>SUM(F56:P56)</f>
        <v>0</v>
      </c>
    </row>
    <row r="57" spans="1:16" ht="13.5">
      <c r="A57" s="18"/>
      <c r="B57" s="15" t="str">
        <f>CONCATENATE(IF(CZ_EN=1,VLOOKUP("Odpisy provozního majetku",Slovnik,1,0),VLOOKUP("Odpisy provozního majetku",Slovnik,2,0))," ",IF(CZ_EN=1,VLOOKUP("(za celou společnost)",Slovnik,1,0),VLOOKUP("(za celou společnost)",Slovnik,2,0)))</f>
        <v>Odpisy provozního majetku (za celou společnost)</v>
      </c>
      <c r="C57" s="164" t="str">
        <f>'Vstupy V'!$D$6</f>
        <v>tis. Kč</v>
      </c>
      <c r="D57" s="165"/>
      <c r="E57" s="115"/>
      <c r="F57" s="173">
        <f>SUM(F35,F37,F39,F41,F43,F45,F47,F49,F51,F53,F55)</f>
        <v>0</v>
      </c>
      <c r="G57" s="173">
        <f aca="true" t="shared" si="9" ref="G57:P57">SUM(G35,G37,G39,G41,G43,G45,G47,G49,G51,G53,G55)</f>
        <v>0</v>
      </c>
      <c r="H57" s="173">
        <f t="shared" si="9"/>
        <v>0</v>
      </c>
      <c r="I57" s="173">
        <f t="shared" si="9"/>
        <v>0</v>
      </c>
      <c r="J57" s="173">
        <f t="shared" si="9"/>
        <v>0</v>
      </c>
      <c r="K57" s="173">
        <f t="shared" si="9"/>
        <v>0</v>
      </c>
      <c r="L57" s="173">
        <f t="shared" si="9"/>
        <v>0</v>
      </c>
      <c r="M57" s="173">
        <f t="shared" si="9"/>
        <v>0</v>
      </c>
      <c r="N57" s="173">
        <f t="shared" si="9"/>
        <v>0</v>
      </c>
      <c r="O57" s="173">
        <f t="shared" si="9"/>
        <v>0</v>
      </c>
      <c r="P57" s="173">
        <f t="shared" si="9"/>
        <v>0</v>
      </c>
    </row>
    <row r="58" spans="1:16" ht="13.5">
      <c r="A58" s="18"/>
      <c r="B58" s="44"/>
      <c r="C58" s="169"/>
      <c r="E58" s="53"/>
      <c r="F58" s="53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3.5">
      <c r="A59" s="143" t="s">
        <v>308</v>
      </c>
      <c r="B59" s="15" t="str">
        <f>IF(CZ_EN=1,VLOOKUP("Odprodej majetku",Slovnik,1,0),VLOOKUP("Odprodej majetku",Slovnik,2,0))</f>
        <v>Odprodej majetku</v>
      </c>
      <c r="C59" s="164" t="str">
        <f>'Vstupy V'!$D$6</f>
        <v>tis. Kč</v>
      </c>
      <c r="D59" s="165"/>
      <c r="E59" s="354"/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82">
        <v>0</v>
      </c>
      <c r="P59" s="182">
        <v>0</v>
      </c>
    </row>
    <row r="60" spans="2:16" ht="13.5">
      <c r="B60" s="13"/>
      <c r="C60" s="14"/>
      <c r="D60" s="14"/>
      <c r="E60" s="227" t="s">
        <v>404</v>
      </c>
      <c r="F60" s="228">
        <f>'Vypocty V'!F4-'Vypocty V'!F5+'Vypocty V'!F7-'Vypocty V'!F8</f>
        <v>0</v>
      </c>
      <c r="G60" s="228">
        <f>'Vypocty V'!G4-'Vypocty V'!G5+'Vypocty V'!G7-'Vypocty V'!G8</f>
        <v>0</v>
      </c>
      <c r="H60" s="228">
        <f>'Vypocty V'!H4-'Vypocty V'!H5+'Vypocty V'!H7-'Vypocty V'!H8</f>
        <v>0</v>
      </c>
      <c r="I60" s="228">
        <f>'Vypocty V'!I4-'Vypocty V'!I5+'Vypocty V'!I7-'Vypocty V'!I8</f>
        <v>0</v>
      </c>
      <c r="J60" s="228">
        <f>'Vypocty V'!J4-'Vypocty V'!J5+'Vypocty V'!J7-'Vypocty V'!J8</f>
        <v>0</v>
      </c>
      <c r="K60" s="228">
        <f>'Vypocty V'!K4-'Vypocty V'!K5+'Vypocty V'!K7-'Vypocty V'!K8</f>
        <v>0</v>
      </c>
      <c r="L60" s="228">
        <f>'Vypocty V'!L4-'Vypocty V'!L5+'Vypocty V'!L7-'Vypocty V'!L8</f>
        <v>0</v>
      </c>
      <c r="M60" s="228">
        <f>'Vypocty V'!M4-'Vypocty V'!M5+'Vypocty V'!M7-'Vypocty V'!M8</f>
        <v>0</v>
      </c>
      <c r="N60" s="228">
        <f>'Vypocty V'!N4-'Vypocty V'!N5+'Vypocty V'!N7-'Vypocty V'!N8</f>
        <v>0</v>
      </c>
      <c r="O60" s="228">
        <f>'Vypocty V'!O4-'Vypocty V'!O5+'Vypocty V'!O7-'Vypocty V'!O8</f>
        <v>0</v>
      </c>
      <c r="P60" s="228">
        <f>'Vypocty V'!P4-'Vypocty V'!P5+'Vypocty V'!P7-'Vypocty V'!P8</f>
        <v>0</v>
      </c>
    </row>
    <row r="61" spans="2:16" ht="13.5" hidden="1">
      <c r="B61" s="13"/>
      <c r="C61" s="14"/>
      <c r="D61" s="14"/>
      <c r="E61" s="227">
        <f>SUM(F61:P61)</f>
        <v>0</v>
      </c>
      <c r="F61" s="229">
        <f>IF(F59&gt;F60,1,0)</f>
        <v>0</v>
      </c>
      <c r="G61" s="229">
        <f aca="true" t="shared" si="10" ref="G61:P61">IF(G59&gt;G60,1,0)</f>
        <v>0</v>
      </c>
      <c r="H61" s="229">
        <f t="shared" si="10"/>
        <v>0</v>
      </c>
      <c r="I61" s="229">
        <f t="shared" si="10"/>
        <v>0</v>
      </c>
      <c r="J61" s="229">
        <f t="shared" si="10"/>
        <v>0</v>
      </c>
      <c r="K61" s="229">
        <f t="shared" si="10"/>
        <v>0</v>
      </c>
      <c r="L61" s="229">
        <f t="shared" si="10"/>
        <v>0</v>
      </c>
      <c r="M61" s="229">
        <f t="shared" si="10"/>
        <v>0</v>
      </c>
      <c r="N61" s="229">
        <f t="shared" si="10"/>
        <v>0</v>
      </c>
      <c r="O61" s="229">
        <f t="shared" si="10"/>
        <v>0</v>
      </c>
      <c r="P61" s="229">
        <f t="shared" si="10"/>
        <v>0</v>
      </c>
    </row>
    <row r="62" spans="2:6" ht="13.5" hidden="1">
      <c r="B62" s="14" t="str">
        <f>IF(CZ_EN=1,VLOOKUP("Zbývající délka smlouvy",Slovnik,1,0),VLOOKUP("Zbývající délka smlouvy",Slovnik,2,0))</f>
        <v>Zbývající délka smlouvy</v>
      </c>
      <c r="C62" s="174">
        <f>MAX(clDW,clWW)</f>
        <v>10</v>
      </c>
      <c r="D62" s="13"/>
      <c r="E62" s="13"/>
      <c r="F62" s="13"/>
    </row>
  </sheetData>
  <sheetProtection password="97A7" sheet="1" objects="1" scenarios="1" formatColumns="0" formatRows="0"/>
  <mergeCells count="2">
    <mergeCell ref="M8:O9"/>
    <mergeCell ref="M11:O12"/>
  </mergeCells>
  <conditionalFormatting sqref="F60:P60">
    <cfRule type="expression" priority="1" dxfId="5" stopIfTrue="1">
      <formula>F61=1</formula>
    </cfRule>
  </conditionalFormatting>
  <conditionalFormatting sqref="G2:P2">
    <cfRule type="expression" priority="2" dxfId="2" stopIfTrue="1">
      <formula>G$16=1</formula>
    </cfRule>
    <cfRule type="expression" priority="3" dxfId="1" stopIfTrue="1">
      <formula>G$16=2</formula>
    </cfRule>
  </conditionalFormatting>
  <conditionalFormatting sqref="G28:P28 G30:P30 G36:P37 G38 P55:P56 H38:H40 I38:I42 J38:J44 K38:K46 N38:N52 O38:P54 M38:M50 L38:L48">
    <cfRule type="expression" priority="4" dxfId="2" stopIfTrue="1">
      <formula>G$1=1</formula>
    </cfRule>
    <cfRule type="expression" priority="5" dxfId="1" stopIfTrue="1">
      <formula>G$1=2</formula>
    </cfRule>
  </conditionalFormatting>
  <conditionalFormatting sqref="G17:P19 F17:F18">
    <cfRule type="expression" priority="9" dxfId="2" stopIfTrue="1">
      <formula>F$16=1</formula>
    </cfRule>
    <cfRule type="expression" priority="10" dxfId="1" stopIfTrue="1">
      <formula>F$16=2</formula>
    </cfRule>
    <cfRule type="expression" priority="11" dxfId="0" stopIfTrue="1">
      <formula>F$16=0</formula>
    </cfRule>
  </conditionalFormatting>
  <conditionalFormatting sqref="F27:P27 F29:P29 F30 F32:P32 F35:P35 F59:P59">
    <cfRule type="expression" priority="12" dxfId="2" stopIfTrue="1">
      <formula>F$1=1</formula>
    </cfRule>
    <cfRule type="expression" priority="13" dxfId="1" stopIfTrue="1">
      <formula>F$1=2</formula>
    </cfRule>
    <cfRule type="expression" priority="14" dxfId="0" stopIfTrue="1">
      <formula>F$1=0</formula>
    </cfRule>
  </conditionalFormatting>
  <conditionalFormatting sqref="E60">
    <cfRule type="expression" priority="6" dxfId="5" stopIfTrue="1">
      <formula>$E$61&gt;0</formula>
    </cfRule>
  </conditionalFormatting>
  <conditionalFormatting sqref="Q30 Q36 Q38 Q40 Q42 Q44 Q46 Q48 Q50 Q52 Q54 Q56">
    <cfRule type="cellIs" priority="7" dxfId="5" operator="greaterThan" stopIfTrue="1">
      <formula>1</formula>
    </cfRule>
  </conditionalFormatting>
  <conditionalFormatting sqref="O25:P25">
    <cfRule type="expression" priority="8" dxfId="5" stopIfTrue="1">
      <formula>$Q$26&gt;0</formula>
    </cfRule>
  </conditionalFormatting>
  <conditionalFormatting sqref="F20:P20">
    <cfRule type="cellIs" priority="29" dxfId="5" operator="notEqual" stopIfTrue="1">
      <formula>0</formula>
    </cfRule>
  </conditionalFormatting>
  <conditionalFormatting sqref="C20">
    <cfRule type="expression" priority="30" dxfId="232" stopIfTrue="1">
      <formula>$E$20=0</formula>
    </cfRule>
  </conditionalFormatting>
  <dataValidations count="4">
    <dataValidation type="decimal" allowBlank="1" showInputMessage="1" showErrorMessage="1" errorTitle="Chybné zadání!" error="Minimální výše je 99,5%!" sqref="F21:P21">
      <formula1>0.995</formula1>
      <formula2>1</formula2>
    </dataValidation>
    <dataValidation type="whole" operator="lessThanOrEqual" allowBlank="1" showInputMessage="1" showErrorMessage="1" errorTitle="Chybné zadání!" error="Kritéruim nemůže být nastaveno výše než 90 dní!" sqref="C11">
      <formula1>90</formula1>
    </dataValidation>
    <dataValidation type="whole" operator="greaterThanOrEqual" allowBlank="1" showInputMessage="1" showErrorMessage="1" errorTitle="Chybné zadání!" error="Kritériu nemůže být nastaveno nižší než 15 dní!" sqref="C12">
      <formula1>15</formula1>
    </dataValidation>
    <dataValidation type="decimal" allowBlank="1" showInputMessage="1" showErrorMessage="1" errorTitle="Chybné zadání!" error="Přípůstná úspšnost je 99,5% až 100%!" sqref="E21">
      <formula1>0.995</formula1>
      <formula2>1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61" r:id="rId4"/>
  <headerFooter>
    <oddFooter>&amp;L&amp;A
&amp;F&amp;C&amp;P celkem &amp;N&amp;R&amp;T
&amp;D</oddFooter>
  </headerFooter>
  <ignoredErrors>
    <ignoredError sqref="Q40:IV40 Q36:Q37 Q39:IV39 Q42:IV42 Q41:IV41 Q44:IV44 Q43:IV43 Q46:IV46 Q45:IV45 Q48:IV48 Q47:IV47 Q50:IV50 Q49:IV49 Q52:IV52 Q51:IV51 Q54:IV54 Q53:IV53 Q55:IV56 B54 B52 B50 B48 B46 B44 B42 B40 Q38:IV38 B55:B56 B53 B51 B49 B47 B45 B43 B39 B41 B29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12"/>
    <pageSetUpPr fitToPage="1"/>
  </sheetPr>
  <dimension ref="A1:Q33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5" zeroHeight="1"/>
  <cols>
    <col min="1" max="1" width="5.421875" style="139" customWidth="1"/>
    <col min="2" max="2" width="3.421875" style="139" customWidth="1"/>
    <col min="3" max="3" width="46.421875" style="139" customWidth="1"/>
    <col min="4" max="4" width="9.8515625" style="139" customWidth="1"/>
    <col min="5" max="5" width="9.140625" style="139" customWidth="1"/>
    <col min="6" max="12" width="10.00390625" style="139" customWidth="1"/>
    <col min="13" max="13" width="10.421875" style="139" customWidth="1"/>
    <col min="14" max="16" width="10.00390625" style="139" customWidth="1"/>
    <col min="17" max="18" width="3.57421875" style="139" customWidth="1"/>
    <col min="19" max="16384" width="0" style="139" hidden="1" customWidth="1"/>
  </cols>
  <sheetData>
    <row r="1" spans="6:16" ht="14.25">
      <c r="F1" s="9">
        <f aca="true" t="shared" si="0" ref="F1:P1">IF(F2=current,0,IF(F2&lt;=current+DoPCP,1,2))</f>
        <v>0</v>
      </c>
      <c r="G1" s="9">
        <f t="shared" si="0"/>
        <v>1</v>
      </c>
      <c r="H1" s="9">
        <f t="shared" si="0"/>
        <v>1</v>
      </c>
      <c r="I1" s="9">
        <f t="shared" si="0"/>
        <v>1</v>
      </c>
      <c r="J1" s="9">
        <f t="shared" si="0"/>
        <v>1</v>
      </c>
      <c r="K1" s="9">
        <f t="shared" si="0"/>
        <v>1</v>
      </c>
      <c r="L1" s="9">
        <f t="shared" si="0"/>
        <v>2</v>
      </c>
      <c r="M1" s="9">
        <f t="shared" si="0"/>
        <v>2</v>
      </c>
      <c r="N1" s="9">
        <f t="shared" si="0"/>
        <v>2</v>
      </c>
      <c r="O1" s="9">
        <f t="shared" si="0"/>
        <v>2</v>
      </c>
      <c r="P1" s="9">
        <f t="shared" si="0"/>
        <v>2</v>
      </c>
    </row>
    <row r="2" spans="3:16" ht="19.5" customHeight="1">
      <c r="C2" s="140" t="str">
        <f>CONCATENATE(IF(CZ_EN=1,VLOOKUP("NÁJEMNÉ",Slovnik,1,0),VLOOKUP("NÁJEMNÉ",Slovnik,2,0))," ",IF(CZ_EN=1,VLOOKUP("VODNÉ",Slovnik,1,0),VLOOKUP("VODNÉ",Slovnik,2,0)))</f>
        <v>Nájemné VODNÉ</v>
      </c>
      <c r="D2" s="10" t="str">
        <f>'Spolecne vstupy'!$C$17</f>
        <v>rok</v>
      </c>
      <c r="E2" s="391">
        <f>F2-1</f>
        <v>2020</v>
      </c>
      <c r="F2" s="286">
        <f>current</f>
        <v>2021</v>
      </c>
      <c r="G2" s="141">
        <f aca="true" t="shared" si="1" ref="G2:P2">F2+1</f>
        <v>2022</v>
      </c>
      <c r="H2" s="141">
        <f t="shared" si="1"/>
        <v>2023</v>
      </c>
      <c r="I2" s="141">
        <f t="shared" si="1"/>
        <v>2024</v>
      </c>
      <c r="J2" s="141">
        <f t="shared" si="1"/>
        <v>2025</v>
      </c>
      <c r="K2" s="141">
        <f t="shared" si="1"/>
        <v>2026</v>
      </c>
      <c r="L2" s="141">
        <f t="shared" si="1"/>
        <v>2027</v>
      </c>
      <c r="M2" s="141">
        <f t="shared" si="1"/>
        <v>2028</v>
      </c>
      <c r="N2" s="141">
        <f t="shared" si="1"/>
        <v>2029</v>
      </c>
      <c r="O2" s="141">
        <f t="shared" si="1"/>
        <v>2030</v>
      </c>
      <c r="P2" s="141">
        <f t="shared" si="1"/>
        <v>2031</v>
      </c>
    </row>
    <row r="3" ht="12"/>
    <row r="4" ht="12.75">
      <c r="C4" s="142" t="str">
        <f>IF(CZ_EN=1,VLOOKUP("Finanční potřeba vlastníka",Slovnik,1,0),VLOOKUP("Finanční potřeba vlastníka",Slovnik,2,0))</f>
        <v>Finanční potřeba vlastníka</v>
      </c>
    </row>
    <row r="5" spans="1:16" ht="15.75" customHeight="1">
      <c r="A5" s="143" t="s">
        <v>308</v>
      </c>
      <c r="C5" s="144" t="str">
        <f>IF(CZ_EN=1,VLOOKUP("Investiční výdaje dle Plánu financování obnovy",Slovnik,1,0),VLOOKUP("Investiční výdaje dle Plánu financování obnovy",Slovnik,2,0))</f>
        <v>Investiční výdaje dle Plánu financování obnovy</v>
      </c>
      <c r="D5" s="145" t="str">
        <f>IF(CZ_EN=1,VLOOKUP("tis. Kč",Slovnik,1,0),VLOOKUP("tis. Kč",Slovnik,2,0))</f>
        <v>tis. Kč</v>
      </c>
      <c r="E5" s="145"/>
      <c r="F5" s="433">
        <v>0</v>
      </c>
      <c r="G5" s="434">
        <v>0</v>
      </c>
      <c r="H5" s="434">
        <v>0</v>
      </c>
      <c r="I5" s="434">
        <v>0</v>
      </c>
      <c r="J5" s="434">
        <v>0</v>
      </c>
      <c r="K5" s="434">
        <v>0</v>
      </c>
      <c r="L5" s="434">
        <v>0</v>
      </c>
      <c r="M5" s="434">
        <v>0</v>
      </c>
      <c r="N5" s="434">
        <v>0</v>
      </c>
      <c r="O5" s="434">
        <v>0</v>
      </c>
      <c r="P5" s="434">
        <v>0</v>
      </c>
    </row>
    <row r="6" spans="1:16" ht="15.75" customHeight="1">
      <c r="A6" s="143" t="s">
        <v>308</v>
      </c>
      <c r="B6" s="146" t="s">
        <v>309</v>
      </c>
      <c r="C6" s="154" t="str">
        <f>IF(CZ_EN=1,VLOOKUP("Smluvní investice ze strany provozovatele",Slovnik,1,0),VLOOKUP("Smluvní investice ze strany provozovatele",Slovnik,2,0))</f>
        <v>Smluvní investice ze strany provozovatele</v>
      </c>
      <c r="D6" s="155" t="str">
        <f aca="true" t="shared" si="2" ref="D6:D23">$D$5</f>
        <v>tis. Kč</v>
      </c>
      <c r="E6" s="155"/>
      <c r="F6" s="435">
        <v>0</v>
      </c>
      <c r="G6" s="436">
        <v>0</v>
      </c>
      <c r="H6" s="436">
        <v>0</v>
      </c>
      <c r="I6" s="436">
        <v>0</v>
      </c>
      <c r="J6" s="436">
        <v>0</v>
      </c>
      <c r="K6" s="436">
        <v>0</v>
      </c>
      <c r="L6" s="436">
        <v>0</v>
      </c>
      <c r="M6" s="436">
        <v>0</v>
      </c>
      <c r="N6" s="436">
        <v>0</v>
      </c>
      <c r="O6" s="436">
        <v>0</v>
      </c>
      <c r="P6" s="436">
        <v>0</v>
      </c>
    </row>
    <row r="7" spans="1:16" ht="12">
      <c r="A7" s="143" t="s">
        <v>308</v>
      </c>
      <c r="B7" s="146" t="s">
        <v>309</v>
      </c>
      <c r="C7" s="147" t="str">
        <f>IF(CZ_EN=1,VLOOKUP("Financováno z dotací",Slovnik,1,0),VLOOKUP("Financováno z dotací",Slovnik,2,0))</f>
        <v>Financováno z dotací</v>
      </c>
      <c r="D7" s="231" t="str">
        <f t="shared" si="2"/>
        <v>tis. Kč</v>
      </c>
      <c r="E7" s="231"/>
      <c r="F7" s="437">
        <v>0</v>
      </c>
      <c r="G7" s="438">
        <v>0</v>
      </c>
      <c r="H7" s="438">
        <v>0</v>
      </c>
      <c r="I7" s="438">
        <v>0</v>
      </c>
      <c r="J7" s="438">
        <v>0</v>
      </c>
      <c r="K7" s="438">
        <v>0</v>
      </c>
      <c r="L7" s="438">
        <v>0</v>
      </c>
      <c r="M7" s="438">
        <v>0</v>
      </c>
      <c r="N7" s="438">
        <v>0</v>
      </c>
      <c r="O7" s="438">
        <v>0</v>
      </c>
      <c r="P7" s="438">
        <v>0</v>
      </c>
    </row>
    <row r="8" spans="1:16" ht="12">
      <c r="A8" s="143" t="s">
        <v>308</v>
      </c>
      <c r="B8" s="146" t="s">
        <v>309</v>
      </c>
      <c r="C8" s="156" t="str">
        <f>IF(CZ_EN=1,VLOOKUP("Financováno z úvěru",Slovnik,1,0),VLOOKUP("Financováno z úvěru",Slovnik,2,0))</f>
        <v>Financováno z úvěru</v>
      </c>
      <c r="D8" s="157" t="str">
        <f t="shared" si="2"/>
        <v>tis. Kč</v>
      </c>
      <c r="E8" s="157"/>
      <c r="F8" s="439">
        <v>0</v>
      </c>
      <c r="G8" s="440">
        <v>0</v>
      </c>
      <c r="H8" s="440">
        <v>0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</row>
    <row r="9" spans="1:2" ht="12">
      <c r="A9" s="146"/>
      <c r="B9" s="146"/>
    </row>
    <row r="10" spans="1:16" ht="15.75" customHeight="1">
      <c r="A10" s="143" t="s">
        <v>308</v>
      </c>
      <c r="C10" s="144" t="str">
        <f>IF(CZ_EN=1,VLOOKUP("Investiční výdaje na nové investice nad obnovu",Slovnik,1,0),VLOOKUP("Investiční výdaje na nové investice nad obnovu",Slovnik,2,0))</f>
        <v>Investiční výdaje na nové investice nad obnovu</v>
      </c>
      <c r="D10" s="145" t="str">
        <f>IF(CZ_EN=1,VLOOKUP("tis. Kč",Slovnik,1,0),VLOOKUP("tis. Kč",Slovnik,2,0))</f>
        <v>tis. Kč</v>
      </c>
      <c r="E10" s="145"/>
      <c r="F10" s="433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</row>
    <row r="11" spans="1:16" ht="15.75" customHeight="1">
      <c r="A11" s="143" t="s">
        <v>308</v>
      </c>
      <c r="B11" s="146" t="s">
        <v>309</v>
      </c>
      <c r="C11" s="147" t="str">
        <f>IF(CZ_EN=1,VLOOKUP("Smluvní investice ze strany provozovatele",Slovnik,1,0),VLOOKUP("Smluvní investice ze strany provozovatele",Slovnik,2,0))</f>
        <v>Smluvní investice ze strany provozovatele</v>
      </c>
      <c r="D11" s="139" t="str">
        <f t="shared" si="2"/>
        <v>tis. Kč</v>
      </c>
      <c r="F11" s="435">
        <v>0</v>
      </c>
      <c r="G11" s="436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6">
        <v>0</v>
      </c>
      <c r="N11" s="436">
        <v>0</v>
      </c>
      <c r="O11" s="436">
        <v>0</v>
      </c>
      <c r="P11" s="436">
        <v>0</v>
      </c>
    </row>
    <row r="12" spans="1:16" ht="12">
      <c r="A12" s="143" t="s">
        <v>308</v>
      </c>
      <c r="B12" s="146" t="s">
        <v>309</v>
      </c>
      <c r="C12" s="147" t="str">
        <f>IF(CZ_EN=1,VLOOKUP("Financováno z dotací",Slovnik,1,0),VLOOKUP("Financováno z dotací",Slovnik,2,0))</f>
        <v>Financováno z dotací</v>
      </c>
      <c r="D12" s="231" t="str">
        <f t="shared" si="2"/>
        <v>tis. Kč</v>
      </c>
      <c r="E12" s="231"/>
      <c r="F12" s="437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</row>
    <row r="13" spans="1:16" ht="12">
      <c r="A13" s="143" t="s">
        <v>308</v>
      </c>
      <c r="B13" s="146" t="s">
        <v>309</v>
      </c>
      <c r="C13" s="156" t="str">
        <f>IF(CZ_EN=1,VLOOKUP("Financováno z úvěru",Slovnik,1,0),VLOOKUP("Financováno z úvěru",Slovnik,2,0))</f>
        <v>Financováno z úvěru</v>
      </c>
      <c r="D13" s="157" t="str">
        <f t="shared" si="2"/>
        <v>tis. Kč</v>
      </c>
      <c r="E13" s="157"/>
      <c r="F13" s="439">
        <v>0</v>
      </c>
      <c r="G13" s="440">
        <v>0</v>
      </c>
      <c r="H13" s="440">
        <v>0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</row>
    <row r="14" spans="1:2" ht="12">
      <c r="A14" s="146"/>
      <c r="B14" s="146"/>
    </row>
    <row r="15" spans="1:16" ht="15.75" customHeight="1">
      <c r="A15" s="143" t="s">
        <v>308</v>
      </c>
      <c r="C15" s="144" t="str">
        <f>IF(CZ_EN=1,VLOOKUP("Smluvní minimální výše oprav s charakterem obnovy",Slovnik,1,0),VLOOKUP("ISmluvní minimální výše oprav s charakterem obnovy",Slovnik,2,0))</f>
        <v>Smluvní minimální výše oprav s charakterem obnovy</v>
      </c>
      <c r="D15" s="145" t="str">
        <f>IF(CZ_EN=1,VLOOKUP("tis. Kč",Slovnik,1,0),VLOOKUP("tis. Kč",Slovnik,2,0))</f>
        <v>tis. Kč</v>
      </c>
      <c r="E15" s="145"/>
      <c r="F15" s="433">
        <v>0</v>
      </c>
      <c r="G15" s="434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0</v>
      </c>
      <c r="O15" s="434">
        <v>0</v>
      </c>
      <c r="P15" s="434">
        <v>0</v>
      </c>
    </row>
    <row r="16" spans="1:2" ht="12">
      <c r="A16" s="146"/>
      <c r="B16" s="146"/>
    </row>
    <row r="17" spans="3:16" ht="16.5" customHeight="1">
      <c r="C17" s="421" t="str">
        <f>IF(CZ_EN=1,VLOOKUP("Potřeba vlastních zdrojů na obnovu a rozšíření",Slovnik,1,0),VLOOKUP("Potřeba vlastních zdrojů na obnovu a rozšíření",Slovnik,2,0))</f>
        <v>Potřeba vlastních zdrojů na obnovu a rozšíření</v>
      </c>
      <c r="D17" s="422" t="str">
        <f t="shared" si="2"/>
        <v>tis. Kč</v>
      </c>
      <c r="E17" s="422"/>
      <c r="F17" s="423">
        <f>F5-F6-F7-F8+F10-F11-F12-F13-F15</f>
        <v>0</v>
      </c>
      <c r="G17" s="424">
        <f aca="true" t="shared" si="3" ref="G17:P17">G5-G6-G7-G8+G10-G11-G12-G13-G15</f>
        <v>0</v>
      </c>
      <c r="H17" s="424">
        <f t="shared" si="3"/>
        <v>0</v>
      </c>
      <c r="I17" s="424">
        <f t="shared" si="3"/>
        <v>0</v>
      </c>
      <c r="J17" s="424">
        <f t="shared" si="3"/>
        <v>0</v>
      </c>
      <c r="K17" s="424">
        <f t="shared" si="3"/>
        <v>0</v>
      </c>
      <c r="L17" s="424">
        <f t="shared" si="3"/>
        <v>0</v>
      </c>
      <c r="M17" s="424">
        <f t="shared" si="3"/>
        <v>0</v>
      </c>
      <c r="N17" s="424">
        <f t="shared" si="3"/>
        <v>0</v>
      </c>
      <c r="O17" s="424">
        <f t="shared" si="3"/>
        <v>0</v>
      </c>
      <c r="P17" s="424">
        <f t="shared" si="3"/>
        <v>0</v>
      </c>
    </row>
    <row r="18" spans="1:16" ht="16.5" customHeight="1">
      <c r="A18" s="143" t="s">
        <v>308</v>
      </c>
      <c r="B18" s="146" t="s">
        <v>310</v>
      </c>
      <c r="C18" s="147" t="str">
        <f>IF(CZ_EN=1,VLOOKUP("Provozní náklady vlastníka",Slovnik,1,0),VLOOKUP("Provozní náklady vlastníka",Slovnik,2,0))</f>
        <v>Provozní náklady vlastníka</v>
      </c>
      <c r="D18" s="139" t="str">
        <f t="shared" si="2"/>
        <v>tis. Kč</v>
      </c>
      <c r="F18" s="435">
        <v>0</v>
      </c>
      <c r="G18" s="436">
        <v>0</v>
      </c>
      <c r="H18" s="436">
        <v>0</v>
      </c>
      <c r="I18" s="436">
        <v>0</v>
      </c>
      <c r="J18" s="436">
        <v>0</v>
      </c>
      <c r="K18" s="436"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</row>
    <row r="19" spans="1:16" ht="12">
      <c r="A19" s="143" t="s">
        <v>308</v>
      </c>
      <c r="B19" s="146" t="s">
        <v>310</v>
      </c>
      <c r="C19" s="147" t="str">
        <f>IF(CZ_EN=1,VLOOKUP("Celková dluhová služba vlastníka",Slovnik,1,0),VLOOKUP("Celková dluhová služba vlastníka",Slovnik,2,0))</f>
        <v>Celková dluhová služba vlastníka</v>
      </c>
      <c r="D19" s="139" t="str">
        <f t="shared" si="2"/>
        <v>tis. Kč</v>
      </c>
      <c r="F19" s="437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</row>
    <row r="20" spans="1:16" ht="12">
      <c r="A20" s="143" t="s">
        <v>308</v>
      </c>
      <c r="C20" s="147" t="str">
        <f>IF(CZ_EN=1,VLOOKUP(" z toho jistina",Slovnik,1,0),VLOOKUP(" z toho jistina",Slovnik,2,0))</f>
        <v> z toho jistina</v>
      </c>
      <c r="D20" s="139" t="str">
        <f t="shared" si="2"/>
        <v>tis. Kč</v>
      </c>
      <c r="F20" s="437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</row>
    <row r="21" spans="3:16" s="149" customFormat="1" ht="12.75">
      <c r="C21" s="150" t="str">
        <f>IF(CZ_EN=1,VLOOKUP(" z toho úroky",Slovnik,1,0),VLOOKUP(" z toho úroky",Slovnik,2,0))</f>
        <v> z toho úroky</v>
      </c>
      <c r="D21" s="149" t="str">
        <f t="shared" si="2"/>
        <v>tis. Kč</v>
      </c>
      <c r="F21" s="288">
        <f aca="true" t="shared" si="4" ref="F21:P21">F19-F20</f>
        <v>0</v>
      </c>
      <c r="G21" s="151">
        <f t="shared" si="4"/>
        <v>0</v>
      </c>
      <c r="H21" s="151">
        <f t="shared" si="4"/>
        <v>0</v>
      </c>
      <c r="I21" s="151">
        <f t="shared" si="4"/>
        <v>0</v>
      </c>
      <c r="J21" s="151">
        <f t="shared" si="4"/>
        <v>0</v>
      </c>
      <c r="K21" s="151">
        <f t="shared" si="4"/>
        <v>0</v>
      </c>
      <c r="L21" s="151">
        <f t="shared" si="4"/>
        <v>0</v>
      </c>
      <c r="M21" s="151">
        <f t="shared" si="4"/>
        <v>0</v>
      </c>
      <c r="N21" s="151">
        <f t="shared" si="4"/>
        <v>0</v>
      </c>
      <c r="O21" s="151">
        <f t="shared" si="4"/>
        <v>0</v>
      </c>
      <c r="P21" s="151">
        <f t="shared" si="4"/>
        <v>0</v>
      </c>
    </row>
    <row r="22" spans="1:16" ht="12">
      <c r="A22" s="143" t="s">
        <v>308</v>
      </c>
      <c r="B22" s="146" t="s">
        <v>310</v>
      </c>
      <c r="C22" s="147" t="str">
        <f>IF(CZ_EN=1,VLOOKUP("Očekávané daňové povinnosti vlastníka",Slovnik,1,0),VLOOKUP("Očekávané daňové povinnosti vlastníka",Slovnik,2,0))</f>
        <v>Očekávané daňové povinnosti vlastníka</v>
      </c>
      <c r="D22" s="139" t="str">
        <f t="shared" si="2"/>
        <v>tis. Kč</v>
      </c>
      <c r="F22" s="439">
        <v>0</v>
      </c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</row>
    <row r="23" spans="3:17" ht="16.5" customHeight="1">
      <c r="C23" s="152" t="str">
        <f>IF(CZ_EN=1,VLOOKUP("Roční potřeba vlastních zdrojů na vodné",Slovnik,1,0),VLOOKUP("Roční potřeba vlastních zdrojů na vodné",Slovnik,2,0))</f>
        <v>Roční potřeba vlastních zdrojů na vodné</v>
      </c>
      <c r="D23" s="145" t="str">
        <f t="shared" si="2"/>
        <v>tis. Kč</v>
      </c>
      <c r="E23" s="145"/>
      <c r="F23" s="379">
        <f aca="true" t="shared" si="5" ref="F23:P23">F17+F18+F19+F22</f>
        <v>0</v>
      </c>
      <c r="G23" s="380">
        <f t="shared" si="5"/>
        <v>0</v>
      </c>
      <c r="H23" s="380">
        <f t="shared" si="5"/>
        <v>0</v>
      </c>
      <c r="I23" s="380">
        <f t="shared" si="5"/>
        <v>0</v>
      </c>
      <c r="J23" s="380">
        <f t="shared" si="5"/>
        <v>0</v>
      </c>
      <c r="K23" s="380">
        <f t="shared" si="5"/>
        <v>0</v>
      </c>
      <c r="L23" s="380">
        <f t="shared" si="5"/>
        <v>0</v>
      </c>
      <c r="M23" s="380">
        <f t="shared" si="5"/>
        <v>0</v>
      </c>
      <c r="N23" s="380">
        <f t="shared" si="5"/>
        <v>0</v>
      </c>
      <c r="O23" s="380">
        <f t="shared" si="5"/>
        <v>0</v>
      </c>
      <c r="P23" s="380">
        <f t="shared" si="5"/>
        <v>0</v>
      </c>
      <c r="Q23" s="374">
        <f>SUM(G23:P23)</f>
        <v>0</v>
      </c>
    </row>
    <row r="24" ht="12">
      <c r="Q24" s="375"/>
    </row>
    <row r="25" spans="3:17" ht="22.5" customHeight="1">
      <c r="C25" s="142" t="str">
        <f>IF(CZ_EN=1,VLOOKUP("Příjem vlastníka",Slovnik,1,0),VLOOKUP("Příjem vlastníka",Slovnik,2,0))</f>
        <v>Příjem vlastníka</v>
      </c>
      <c r="E25" s="298">
        <f>IF(OR(SUM('Vstupy V'!F108:P108)=0,SUM('Vystupy V'!F56:P56)=0),0,ROUND(('Vstupy V'!F108-'Vystupy V'!F56+'Vstupy V'!G108-'Vystupy V'!G56+'Vstupy V'!H108-'Vystupy V'!H56+'Vstupy V'!I108-'Vystupy V'!I56+'Vstupy V'!J108-'Vystupy V'!J56+'Vstupy V'!K108-'Vystupy V'!K56+'Vstupy V'!L108-'Vystupy V'!L56+'Vstupy V'!M108-'Vystupy V'!M56+'Vstupy V'!N108-'Vystupy V'!N56+'Vstupy V'!O108-'Vystupy V'!O56+'Vstupy V'!P108-'Vystupy V'!P56),4))</f>
        <v>0</v>
      </c>
      <c r="F25" s="296" t="str">
        <f>IF(SUM('Vstupy V'!F108:P108)=0,IF(CZ_EN=1,VLOOKUP("Nájemné - přímý uživatelský vstup",Slovnik,1,0),VLOOKUP("Nájemné - přímý uživatelský vstup",Slovnik,2,0)),IF(E25=0,IF(CZ_EN=1,VLOOKUP("Nájemné koresponduje s cenami",Slovnik,1,0),VLOOKUP("Nájemné koresponduje s cenami",Slovnik,2,0)),IF(CZ_EN=1,VLOOKUP("Nutný přepočet nájemného",Slovnik,1,0),VLOOKUP("Nutný přepočet nájemného",Slovnik,2,0))))</f>
        <v>Nájemné - přímý uživatelský vstup</v>
      </c>
      <c r="I25" s="297"/>
      <c r="J25" s="297" t="str">
        <f>IF(CZ_EN=1,VLOOKUP("Výpočet nájemného dle zadané ceny",Slovnik,1,0),VLOOKUP("Výpočet nájemného dle zadané ceny",Slovnik,2,0))</f>
        <v>Výpočet nájemného dle zadané ceny</v>
      </c>
      <c r="N25" s="297"/>
      <c r="Q25" s="375"/>
    </row>
    <row r="26" spans="1:17" ht="12">
      <c r="A26" s="143" t="s">
        <v>308</v>
      </c>
      <c r="C26" s="144" t="str">
        <f>IF(CZ_EN=1,VLOOKUP("Nájem z vodného",Slovnik,1,0),VLOOKUP("Nájem z vodného",Slovnik,2,0))</f>
        <v>Nájem z vodného</v>
      </c>
      <c r="D26" s="145" t="str">
        <f>IF(CZ_EN=1,VLOOKUP("tis. Kč",Slovnik,1,0),VLOOKUP("tis. Kč",Slovnik,2,0))</f>
        <v>tis. Kč</v>
      </c>
      <c r="E26" s="145"/>
      <c r="F26" s="433">
        <v>0</v>
      </c>
      <c r="G26" s="434">
        <v>518</v>
      </c>
      <c r="H26" s="434">
        <v>518</v>
      </c>
      <c r="I26" s="434">
        <v>518</v>
      </c>
      <c r="J26" s="434">
        <v>518</v>
      </c>
      <c r="K26" s="434">
        <v>518</v>
      </c>
      <c r="L26" s="434">
        <v>518</v>
      </c>
      <c r="M26" s="434">
        <v>518</v>
      </c>
      <c r="N26" s="434">
        <v>518</v>
      </c>
      <c r="O26" s="434">
        <v>518</v>
      </c>
      <c r="P26" s="434">
        <v>518</v>
      </c>
      <c r="Q26" s="374">
        <f>SUM(G26:P26)</f>
        <v>5180</v>
      </c>
    </row>
    <row r="27" spans="3:16" ht="12">
      <c r="C27" s="144" t="str">
        <f>IF(CZ_EN=1,VLOOKUP("Nájemné dle stanovené ceny",Slovnik,1,0),VLOOKUP("Nájemné dle stanovené ceny",Slovnik,2,0))</f>
        <v>Nájemné dle stanovené ceny</v>
      </c>
      <c r="D27" s="145" t="str">
        <f>$D$5</f>
        <v>tis. Kč</v>
      </c>
      <c r="E27" s="145"/>
      <c r="F27" s="287">
        <f>IF('Vstupy V'!F108=0,0,'Vstupy V'!F108*'Vstupy V'!F28*'Spolecne vstupy'!F21-('Vystupy V'!F30+'Vystupy V'!F31+'Vystupy V'!F33+'Vystupy V'!F34+'Vystupy V'!F36+'Vystupy V'!F37+'Vystupy V'!F38-'Vystupy V'!F47))</f>
        <v>0</v>
      </c>
      <c r="G27" s="148">
        <f>IF('Vstupy V'!G108=0,0,'Vstupy V'!G108*'Vstupy V'!G28*'Spolecne vstupy'!G21-('Vystupy V'!G30+'Vystupy V'!G31+'Vystupy V'!G33+'Vystupy V'!G34+'Vystupy V'!G36+'Vystupy V'!G37+'Vystupy V'!G38-'Vystupy V'!G47))</f>
        <v>0</v>
      </c>
      <c r="H27" s="148">
        <f>IF('Vstupy V'!H108=0,0,'Vstupy V'!H108*'Vstupy V'!H28*'Spolecne vstupy'!H21-('Vystupy V'!H30+'Vystupy V'!H31+'Vystupy V'!H33+'Vystupy V'!H34+'Vystupy V'!H36+'Vystupy V'!H37+'Vystupy V'!H38-'Vystupy V'!H47))</f>
        <v>0</v>
      </c>
      <c r="I27" s="148">
        <f>IF('Vstupy V'!I108=0,0,'Vstupy V'!I108*'Vstupy V'!I28*'Spolecne vstupy'!I21-('Vystupy V'!I30+'Vystupy V'!I31+'Vystupy V'!I33+'Vystupy V'!I34+'Vystupy V'!I36+'Vystupy V'!I37+'Vystupy V'!I38-'Vystupy V'!I47))</f>
        <v>0</v>
      </c>
      <c r="J27" s="148">
        <f>IF('Vstupy V'!J108=0,0,'Vstupy V'!J108*'Vstupy V'!J28*'Spolecne vstupy'!J21-('Vystupy V'!J30+'Vystupy V'!J31+'Vystupy V'!J33+'Vystupy V'!J34+'Vystupy V'!J36+'Vystupy V'!J37+'Vystupy V'!J38-'Vystupy V'!J47))</f>
        <v>0</v>
      </c>
      <c r="K27" s="148">
        <f>IF('Vstupy V'!K108=0,0,'Vstupy V'!K108*'Vstupy V'!K28*'Spolecne vstupy'!K21-('Vystupy V'!K30+'Vystupy V'!K31+'Vystupy V'!K33+'Vystupy V'!K34+'Vystupy V'!K36+'Vystupy V'!K37+'Vystupy V'!K38-'Vystupy V'!K47))</f>
        <v>0</v>
      </c>
      <c r="L27" s="148">
        <f>IF('Vstupy V'!L108=0,0,'Vstupy V'!L108*'Vstupy V'!L28*'Spolecne vstupy'!L21-('Vystupy V'!L30+'Vystupy V'!L31+'Vystupy V'!L33+'Vystupy V'!L34+'Vystupy V'!L36+'Vystupy V'!L37+'Vystupy V'!L38-'Vystupy V'!L47))</f>
        <v>0</v>
      </c>
      <c r="M27" s="148">
        <f>IF('Vstupy V'!M108=0,0,'Vstupy V'!M108*'Vstupy V'!M28*'Spolecne vstupy'!M21-('Vystupy V'!M30+'Vystupy V'!M31+'Vystupy V'!M33+'Vystupy V'!M34+'Vystupy V'!M36+'Vystupy V'!M37+'Vystupy V'!M38-'Vystupy V'!M47))</f>
        <v>0</v>
      </c>
      <c r="N27" s="148">
        <f>IF('Vstupy V'!N108=0,0,'Vstupy V'!N108*'Vstupy V'!N28*'Spolecne vstupy'!N21-('Vystupy V'!N30+'Vystupy V'!N31+'Vystupy V'!N33+'Vystupy V'!N34+'Vystupy V'!N36+'Vystupy V'!N37+'Vystupy V'!N38-'Vystupy V'!N47))</f>
        <v>0</v>
      </c>
      <c r="O27" s="148">
        <f>IF('Vstupy V'!O108=0,0,'Vstupy V'!O108*'Vstupy V'!O28*'Spolecne vstupy'!O21-('Vystupy V'!O30+'Vystupy V'!O31+'Vystupy V'!O33+'Vystupy V'!O34+'Vystupy V'!O36+'Vystupy V'!O37+'Vystupy V'!O38-'Vystupy V'!O47))</f>
        <v>0</v>
      </c>
      <c r="P27" s="148">
        <f>IF('Vstupy V'!P108=0,0,'Vstupy V'!P108*'Vstupy V'!P28*'Spolecne vstupy'!P21-('Vystupy V'!P30+'Vystupy V'!P31+'Vystupy V'!P33+'Vystupy V'!P34+'Vystupy V'!P36+'Vystupy V'!P37+'Vystupy V'!P38-'Vystupy V'!P47))</f>
        <v>0</v>
      </c>
    </row>
    <row r="28" spans="6:16" ht="12">
      <c r="F28" s="374">
        <f>'Vstupy V'!F108*'Vstupy V'!F28*'Spolecne vstupy'!F21-('Vystupy V'!F30+'Vystupy V'!F31+'Vystupy V'!F33+'Vystupy V'!F34+'Vystupy V'!F36+'Vystupy V'!F37+'Vystupy V'!F38-'Vystupy V'!F47)</f>
        <v>0</v>
      </c>
      <c r="G28" s="374">
        <f>'Vstupy V'!G108*'Vstupy V'!G28*'Spolecne vstupy'!G21-('Vystupy V'!G30+'Vystupy V'!G31+'Vystupy V'!G33+'Vystupy V'!G34+'Vystupy V'!G36+'Vystupy V'!G37+'Vystupy V'!G38-'Vystupy V'!G47)</f>
        <v>-2987.291306376361</v>
      </c>
      <c r="H28" s="374">
        <f>'Vstupy V'!H108*'Vstupy V'!H28*'Spolecne vstupy'!H21-('Vystupy V'!H30+'Vystupy V'!H31+'Vystupy V'!H33+'Vystupy V'!H34+'Vystupy V'!H36+'Vystupy V'!H37+'Vystupy V'!H38-'Vystupy V'!H47)</f>
        <v>-3057.590824261275</v>
      </c>
      <c r="I28" s="374">
        <f>'Vstupy V'!I108*'Vstupy V'!I28*'Spolecne vstupy'!I21-('Vystupy V'!I30+'Vystupy V'!I31+'Vystupy V'!I33+'Vystupy V'!I34+'Vystupy V'!I36+'Vystupy V'!I37+'Vystupy V'!I38-'Vystupy V'!I47)</f>
        <v>-3174.7566874027993</v>
      </c>
      <c r="J28" s="374">
        <f>'Vstupy V'!J108*'Vstupy V'!J28*'Spolecne vstupy'!J21-('Vystupy V'!J30+'Vystupy V'!J31+'Vystupy V'!J33+'Vystupy V'!J34+'Vystupy V'!J36+'Vystupy V'!J37+'Vystupy V'!J38-'Vystupy V'!J47)</f>
        <v>-3291.9225505443237</v>
      </c>
      <c r="K28" s="374">
        <f>'Vstupy V'!K108*'Vstupy V'!K28*'Spolecne vstupy'!K21-('Vystupy V'!K30+'Vystupy V'!K31+'Vystupy V'!K33+'Vystupy V'!K34+'Vystupy V'!K36+'Vystupy V'!K37+'Vystupy V'!K38-'Vystupy V'!K47)</f>
        <v>-3409.0884136858476</v>
      </c>
      <c r="L28" s="374">
        <f>'Vstupy V'!L108*'Vstupy V'!L28*'Spolecne vstupy'!L21-('Vystupy V'!L30+'Vystupy V'!L31+'Vystupy V'!L33+'Vystupy V'!L34+'Vystupy V'!L36+'Vystupy V'!L37+'Vystupy V'!L38-'Vystupy V'!L47)</f>
        <v>-3409.0884136858476</v>
      </c>
      <c r="M28" s="374">
        <f>'Vstupy V'!M108*'Vstupy V'!M28*'Spolecne vstupy'!M21-('Vystupy V'!M30+'Vystupy V'!M31+'Vystupy V'!M33+'Vystupy V'!M34+'Vystupy V'!M36+'Vystupy V'!M37+'Vystupy V'!M38-'Vystupy V'!M47)</f>
        <v>-3409.0884136858476</v>
      </c>
      <c r="N28" s="374">
        <f>'Vstupy V'!N108*'Vstupy V'!N28*'Spolecne vstupy'!N21-('Vystupy V'!N30+'Vystupy V'!N31+'Vystupy V'!N33+'Vystupy V'!N34+'Vystupy V'!N36+'Vystupy V'!N37+'Vystupy V'!N38-'Vystupy V'!N47)</f>
        <v>-3409.0884136858476</v>
      </c>
      <c r="O28" s="374">
        <f>'Vstupy V'!O108*'Vstupy V'!O28*'Spolecne vstupy'!O21-('Vystupy V'!O30+'Vystupy V'!O31+'Vystupy V'!O33+'Vystupy V'!O34+'Vystupy V'!O36+'Vystupy V'!O37+'Vystupy V'!O38-'Vystupy V'!O47)</f>
        <v>-3409.0884136858476</v>
      </c>
      <c r="P28" s="374">
        <f>'Vstupy V'!P108*'Vstupy V'!P28*'Spolecne vstupy'!P21-('Vystupy V'!P30+'Vystupy V'!P31+'Vystupy V'!P33+'Vystupy V'!P34+'Vystupy V'!P36+'Vystupy V'!P37+'Vystupy V'!P38-'Vystupy V'!P47)</f>
        <v>-3409.0884136858476</v>
      </c>
    </row>
    <row r="29" spans="10:13" ht="12.75" hidden="1">
      <c r="J29" s="370" t="str">
        <f>IF(CZ_EN=1,VLOOKUP("Dlouhodobý deficit v nájemném této složky!",Slovnik,1,0),VLOOKUP("Dlouhodobý deficit v nájemném této složky!",Slovnik,2,0))</f>
        <v>Dlouhodobý deficit v nájemném této složky!</v>
      </c>
      <c r="K29" s="371"/>
      <c r="L29" s="371"/>
      <c r="M29" s="371"/>
    </row>
    <row r="31" ht="12" customHeight="1" hidden="1"/>
    <row r="33" ht="14.25" hidden="1">
      <c r="C33" s="153"/>
    </row>
  </sheetData>
  <sheetProtection password="97A7" sheet="1" objects="1" scenarios="1" formatColumns="0" formatRows="0"/>
  <conditionalFormatting sqref="G2:P2 G27:P27 G17:P17 G21:P21 G23:P23">
    <cfRule type="expression" priority="17" dxfId="2" stopIfTrue="1">
      <formula>G$1=1</formula>
    </cfRule>
    <cfRule type="expression" priority="18" dxfId="1" stopIfTrue="1">
      <formula>G$1=2</formula>
    </cfRule>
  </conditionalFormatting>
  <conditionalFormatting sqref="F25">
    <cfRule type="expression" priority="19" dxfId="233" stopIfTrue="1">
      <formula>$E$25=0</formula>
    </cfRule>
    <cfRule type="expression" priority="20" dxfId="234" stopIfTrue="1">
      <formula>$E$25&lt;&gt;0</formula>
    </cfRule>
  </conditionalFormatting>
  <conditionalFormatting sqref="G26:P26">
    <cfRule type="expression" priority="15" dxfId="2" stopIfTrue="1">
      <formula>G$1=1</formula>
    </cfRule>
    <cfRule type="expression" priority="16" dxfId="1" stopIfTrue="1">
      <formula>G$1=2</formula>
    </cfRule>
  </conditionalFormatting>
  <conditionalFormatting sqref="G5:P5">
    <cfRule type="expression" priority="13" dxfId="2" stopIfTrue="1">
      <formula>G$1=1</formula>
    </cfRule>
    <cfRule type="expression" priority="14" dxfId="1" stopIfTrue="1">
      <formula>G$1=2</formula>
    </cfRule>
  </conditionalFormatting>
  <conditionalFormatting sqref="G10:P10">
    <cfRule type="expression" priority="11" dxfId="2" stopIfTrue="1">
      <formula>G$1=1</formula>
    </cfRule>
    <cfRule type="expression" priority="12" dxfId="1" stopIfTrue="1">
      <formula>G$1=2</formula>
    </cfRule>
  </conditionalFormatting>
  <conditionalFormatting sqref="G6:P8">
    <cfRule type="expression" priority="9" dxfId="2" stopIfTrue="1">
      <formula>G$1=1</formula>
    </cfRule>
    <cfRule type="expression" priority="10" dxfId="1" stopIfTrue="1">
      <formula>G$1=2</formula>
    </cfRule>
  </conditionalFormatting>
  <conditionalFormatting sqref="G11:P13">
    <cfRule type="expression" priority="7" dxfId="2" stopIfTrue="1">
      <formula>G$1=1</formula>
    </cfRule>
    <cfRule type="expression" priority="8" dxfId="1" stopIfTrue="1">
      <formula>G$1=2</formula>
    </cfRule>
  </conditionalFormatting>
  <conditionalFormatting sqref="G18:P20">
    <cfRule type="expression" priority="5" dxfId="2" stopIfTrue="1">
      <formula>G$1=1</formula>
    </cfRule>
    <cfRule type="expression" priority="6" dxfId="1" stopIfTrue="1">
      <formula>G$1=2</formula>
    </cfRule>
  </conditionalFormatting>
  <conditionalFormatting sqref="G22:P22">
    <cfRule type="expression" priority="3" dxfId="2" stopIfTrue="1">
      <formula>G$1=1</formula>
    </cfRule>
    <cfRule type="expression" priority="4" dxfId="1" stopIfTrue="1">
      <formula>G$1=2</formula>
    </cfRule>
  </conditionalFormatting>
  <conditionalFormatting sqref="G15:P15">
    <cfRule type="expression" priority="1" dxfId="2" stopIfTrue="1">
      <formula>G$1=1</formula>
    </cfRule>
    <cfRule type="expression" priority="2" dxfId="1" stopIfTrue="1">
      <formula>G$1=2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3"/>
  <headerFooter alignWithMargins="0">
    <oddFooter>&amp;L&amp;A
&amp;F&amp;C&amp;P celkem &amp;N&amp;R&amp;T
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indexed="12"/>
    <pageSetUpPr fitToPage="1"/>
  </sheetPr>
  <dimension ref="A1:Q33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5" zeroHeight="1"/>
  <cols>
    <col min="1" max="1" width="5.421875" style="139" customWidth="1"/>
    <col min="2" max="2" width="3.421875" style="139" customWidth="1"/>
    <col min="3" max="3" width="46.421875" style="139" customWidth="1"/>
    <col min="4" max="4" width="9.8515625" style="139" customWidth="1"/>
    <col min="5" max="5" width="9.140625" style="139" customWidth="1"/>
    <col min="6" max="12" width="10.00390625" style="139" customWidth="1"/>
    <col min="13" max="13" width="10.421875" style="139" customWidth="1"/>
    <col min="14" max="16" width="10.00390625" style="139" customWidth="1"/>
    <col min="17" max="18" width="3.57421875" style="139" customWidth="1"/>
    <col min="19" max="16384" width="0" style="139" hidden="1" customWidth="1"/>
  </cols>
  <sheetData>
    <row r="1" spans="6:16" ht="14.25">
      <c r="F1" s="9">
        <f aca="true" t="shared" si="0" ref="F1:P1">IF(F2=current,0,IF(F2&lt;=current+DoPCP,1,2))</f>
        <v>0</v>
      </c>
      <c r="G1" s="9">
        <f t="shared" si="0"/>
        <v>1</v>
      </c>
      <c r="H1" s="9">
        <f t="shared" si="0"/>
        <v>1</v>
      </c>
      <c r="I1" s="9">
        <f t="shared" si="0"/>
        <v>1</v>
      </c>
      <c r="J1" s="9">
        <f t="shared" si="0"/>
        <v>1</v>
      </c>
      <c r="K1" s="9">
        <f t="shared" si="0"/>
        <v>1</v>
      </c>
      <c r="L1" s="9">
        <f t="shared" si="0"/>
        <v>2</v>
      </c>
      <c r="M1" s="9">
        <f t="shared" si="0"/>
        <v>2</v>
      </c>
      <c r="N1" s="9">
        <f t="shared" si="0"/>
        <v>2</v>
      </c>
      <c r="O1" s="9">
        <f t="shared" si="0"/>
        <v>2</v>
      </c>
      <c r="P1" s="9">
        <f t="shared" si="0"/>
        <v>2</v>
      </c>
    </row>
    <row r="2" spans="3:16" ht="19.5" customHeight="1">
      <c r="C2" s="140" t="str">
        <f>CONCATENATE(IF(CZ_EN=1,VLOOKUP("NÁJEMNÉ",Slovnik,1,0),VLOOKUP("NÁJEMNÉ",Slovnik,2,0))," ",IF(CZ_EN=1,VLOOKUP("STOČNÉ",Slovnik,1,0),VLOOKUP("STOČNÉ",Slovnik,2,0)))</f>
        <v>Nájemné STOČNÉ</v>
      </c>
      <c r="D2" s="10" t="str">
        <f>'Spolecne vstupy'!$C$17</f>
        <v>rok</v>
      </c>
      <c r="E2" s="391">
        <f>F2-1</f>
        <v>2020</v>
      </c>
      <c r="F2" s="286">
        <f>current</f>
        <v>2021</v>
      </c>
      <c r="G2" s="141">
        <f aca="true" t="shared" si="1" ref="G2:P2">F2+1</f>
        <v>2022</v>
      </c>
      <c r="H2" s="141">
        <f t="shared" si="1"/>
        <v>2023</v>
      </c>
      <c r="I2" s="141">
        <f t="shared" si="1"/>
        <v>2024</v>
      </c>
      <c r="J2" s="141">
        <f t="shared" si="1"/>
        <v>2025</v>
      </c>
      <c r="K2" s="141">
        <f t="shared" si="1"/>
        <v>2026</v>
      </c>
      <c r="L2" s="141">
        <f t="shared" si="1"/>
        <v>2027</v>
      </c>
      <c r="M2" s="141">
        <f t="shared" si="1"/>
        <v>2028</v>
      </c>
      <c r="N2" s="141">
        <f t="shared" si="1"/>
        <v>2029</v>
      </c>
      <c r="O2" s="141">
        <f t="shared" si="1"/>
        <v>2030</v>
      </c>
      <c r="P2" s="141">
        <f t="shared" si="1"/>
        <v>2031</v>
      </c>
    </row>
    <row r="3" ht="12"/>
    <row r="4" ht="12.75">
      <c r="C4" s="142" t="str">
        <f>'Najemne V'!C4</f>
        <v>Finanční potřeba vlastníka</v>
      </c>
    </row>
    <row r="5" spans="1:16" ht="15.75" customHeight="1">
      <c r="A5" s="143" t="s">
        <v>308</v>
      </c>
      <c r="C5" s="144" t="str">
        <f>'Najemne V'!C5</f>
        <v>Investiční výdaje dle Plánu financování obnovy</v>
      </c>
      <c r="D5" s="145" t="str">
        <f>IF(CZ_EN=1,VLOOKUP("tis. Kč",Slovnik,1,0),VLOOKUP("tis. Kč",Slovnik,2,0))</f>
        <v>tis. Kč</v>
      </c>
      <c r="E5" s="145"/>
      <c r="F5" s="433">
        <v>0</v>
      </c>
      <c r="G5" s="434">
        <v>0</v>
      </c>
      <c r="H5" s="434">
        <v>0</v>
      </c>
      <c r="I5" s="434">
        <v>0</v>
      </c>
      <c r="J5" s="434">
        <v>0</v>
      </c>
      <c r="K5" s="434">
        <v>0</v>
      </c>
      <c r="L5" s="434">
        <v>0</v>
      </c>
      <c r="M5" s="434">
        <v>0</v>
      </c>
      <c r="N5" s="434">
        <v>0</v>
      </c>
      <c r="O5" s="434">
        <v>0</v>
      </c>
      <c r="P5" s="434">
        <v>0</v>
      </c>
    </row>
    <row r="6" spans="1:16" ht="15.75" customHeight="1">
      <c r="A6" s="143" t="s">
        <v>308</v>
      </c>
      <c r="B6" s="146" t="s">
        <v>309</v>
      </c>
      <c r="C6" s="154" t="str">
        <f>'Najemne V'!C6</f>
        <v>Smluvní investice ze strany provozovatele</v>
      </c>
      <c r="D6" s="155" t="str">
        <f aca="true" t="shared" si="2" ref="D6:D23">$D$5</f>
        <v>tis. Kč</v>
      </c>
      <c r="E6" s="155"/>
      <c r="F6" s="435">
        <v>0</v>
      </c>
      <c r="G6" s="436">
        <v>0</v>
      </c>
      <c r="H6" s="436">
        <v>0</v>
      </c>
      <c r="I6" s="436">
        <v>0</v>
      </c>
      <c r="J6" s="436">
        <v>0</v>
      </c>
      <c r="K6" s="436">
        <v>0</v>
      </c>
      <c r="L6" s="436">
        <v>0</v>
      </c>
      <c r="M6" s="436">
        <v>0</v>
      </c>
      <c r="N6" s="436">
        <v>0</v>
      </c>
      <c r="O6" s="436">
        <v>0</v>
      </c>
      <c r="P6" s="436">
        <v>0</v>
      </c>
    </row>
    <row r="7" spans="1:16" ht="12">
      <c r="A7" s="143" t="s">
        <v>308</v>
      </c>
      <c r="B7" s="146" t="s">
        <v>309</v>
      </c>
      <c r="C7" s="147" t="str">
        <f>'Najemne V'!C7</f>
        <v>Financováno z dotací</v>
      </c>
      <c r="D7" s="231" t="str">
        <f t="shared" si="2"/>
        <v>tis. Kč</v>
      </c>
      <c r="E7" s="231"/>
      <c r="F7" s="437">
        <v>0</v>
      </c>
      <c r="G7" s="438">
        <v>0</v>
      </c>
      <c r="H7" s="438">
        <v>0</v>
      </c>
      <c r="I7" s="438">
        <v>0</v>
      </c>
      <c r="J7" s="438">
        <v>0</v>
      </c>
      <c r="K7" s="438">
        <v>0</v>
      </c>
      <c r="L7" s="438">
        <v>0</v>
      </c>
      <c r="M7" s="438">
        <v>0</v>
      </c>
      <c r="N7" s="438">
        <v>0</v>
      </c>
      <c r="O7" s="438">
        <v>0</v>
      </c>
      <c r="P7" s="438">
        <v>0</v>
      </c>
    </row>
    <row r="8" spans="1:16" ht="12">
      <c r="A8" s="143" t="s">
        <v>308</v>
      </c>
      <c r="B8" s="146" t="s">
        <v>309</v>
      </c>
      <c r="C8" s="156" t="str">
        <f>'Najemne V'!C8</f>
        <v>Financováno z úvěru</v>
      </c>
      <c r="D8" s="157" t="str">
        <f t="shared" si="2"/>
        <v>tis. Kč</v>
      </c>
      <c r="E8" s="157"/>
      <c r="F8" s="439">
        <v>0</v>
      </c>
      <c r="G8" s="440">
        <v>0</v>
      </c>
      <c r="H8" s="440">
        <v>0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</row>
    <row r="9" spans="1:2" ht="12">
      <c r="A9" s="146"/>
      <c r="B9" s="146"/>
    </row>
    <row r="10" spans="1:16" ht="15.75" customHeight="1">
      <c r="A10" s="143" t="s">
        <v>308</v>
      </c>
      <c r="C10" s="144" t="str">
        <f>IF(CZ_EN=1,VLOOKUP("Investiční výdaje na nové investice nad obnovu",Slovnik,1,0),VLOOKUP("Investiční výdaje na nové investice nad obnovu",Slovnik,2,0))</f>
        <v>Investiční výdaje na nové investice nad obnovu</v>
      </c>
      <c r="D10" s="145" t="str">
        <f>IF(CZ_EN=1,VLOOKUP("tis. Kč",Slovnik,1,0),VLOOKUP("tis. Kč",Slovnik,2,0))</f>
        <v>tis. Kč</v>
      </c>
      <c r="E10" s="145"/>
      <c r="F10" s="433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</row>
    <row r="11" spans="1:16" ht="15.75" customHeight="1">
      <c r="A11" s="143" t="s">
        <v>308</v>
      </c>
      <c r="B11" s="146" t="s">
        <v>309</v>
      </c>
      <c r="C11" s="147" t="str">
        <f>'Najemne V'!C11</f>
        <v>Smluvní investice ze strany provozovatele</v>
      </c>
      <c r="D11" s="139" t="str">
        <f t="shared" si="2"/>
        <v>tis. Kč</v>
      </c>
      <c r="F11" s="435">
        <v>0</v>
      </c>
      <c r="G11" s="436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6">
        <v>0</v>
      </c>
      <c r="N11" s="436">
        <v>0</v>
      </c>
      <c r="O11" s="436">
        <v>0</v>
      </c>
      <c r="P11" s="436">
        <v>0</v>
      </c>
    </row>
    <row r="12" spans="1:16" ht="12">
      <c r="A12" s="143" t="s">
        <v>308</v>
      </c>
      <c r="B12" s="146" t="s">
        <v>309</v>
      </c>
      <c r="C12" s="147" t="str">
        <f>'Najemne V'!C12</f>
        <v>Financováno z dotací</v>
      </c>
      <c r="D12" s="231" t="str">
        <f t="shared" si="2"/>
        <v>tis. Kč</v>
      </c>
      <c r="E12" s="231"/>
      <c r="F12" s="437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</row>
    <row r="13" spans="1:16" ht="12">
      <c r="A13" s="143" t="s">
        <v>308</v>
      </c>
      <c r="B13" s="146" t="s">
        <v>309</v>
      </c>
      <c r="C13" s="156" t="str">
        <f>'Najemne V'!C13</f>
        <v>Financováno z úvěru</v>
      </c>
      <c r="D13" s="157" t="str">
        <f t="shared" si="2"/>
        <v>tis. Kč</v>
      </c>
      <c r="E13" s="157"/>
      <c r="F13" s="439">
        <v>0</v>
      </c>
      <c r="G13" s="440">
        <v>0</v>
      </c>
      <c r="H13" s="440">
        <v>0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</row>
    <row r="14" spans="1:2" ht="12">
      <c r="A14" s="146"/>
      <c r="B14" s="146"/>
    </row>
    <row r="15" spans="1:16" ht="15.75" customHeight="1">
      <c r="A15" s="143" t="s">
        <v>308</v>
      </c>
      <c r="C15" s="144" t="str">
        <f>IF(CZ_EN=1,VLOOKUP("Smluvní minimální výše oprav s charakterem obnovy",Slovnik,1,0),VLOOKUP("ISmluvní minimální výše oprav s charakterem obnovy",Slovnik,2,0))</f>
        <v>Smluvní minimální výše oprav s charakterem obnovy</v>
      </c>
      <c r="D15" s="145" t="str">
        <f>IF(CZ_EN=1,VLOOKUP("tis. Kč",Slovnik,1,0),VLOOKUP("tis. Kč",Slovnik,2,0))</f>
        <v>tis. Kč</v>
      </c>
      <c r="E15" s="145"/>
      <c r="F15" s="433">
        <v>0</v>
      </c>
      <c r="G15" s="434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0</v>
      </c>
      <c r="O15" s="434">
        <v>0</v>
      </c>
      <c r="P15" s="434">
        <v>0</v>
      </c>
    </row>
    <row r="16" spans="1:2" ht="12">
      <c r="A16" s="146"/>
      <c r="B16" s="146"/>
    </row>
    <row r="17" spans="3:16" ht="16.5" customHeight="1">
      <c r="C17" s="421" t="str">
        <f>IF(CZ_EN=1,VLOOKUP("Potřeba vlastních zdrojů na obnovu a rozšíření",Slovnik,1,0),VLOOKUP("Potřeba vlastních zdrojů na obnovu a rozšíření",Slovnik,2,0))</f>
        <v>Potřeba vlastních zdrojů na obnovu a rozšíření</v>
      </c>
      <c r="D17" s="422" t="str">
        <f t="shared" si="2"/>
        <v>tis. Kč</v>
      </c>
      <c r="E17" s="422"/>
      <c r="F17" s="423">
        <f>F5-F6-F7-F8+F10-F11-F12-F13-F15</f>
        <v>0</v>
      </c>
      <c r="G17" s="424">
        <f aca="true" t="shared" si="3" ref="G17:P17">G5-G6-G7-G8+G10-G11-G12-G13-G15</f>
        <v>0</v>
      </c>
      <c r="H17" s="424">
        <f t="shared" si="3"/>
        <v>0</v>
      </c>
      <c r="I17" s="424">
        <f t="shared" si="3"/>
        <v>0</v>
      </c>
      <c r="J17" s="424">
        <f t="shared" si="3"/>
        <v>0</v>
      </c>
      <c r="K17" s="424">
        <f t="shared" si="3"/>
        <v>0</v>
      </c>
      <c r="L17" s="424">
        <f t="shared" si="3"/>
        <v>0</v>
      </c>
      <c r="M17" s="424">
        <f t="shared" si="3"/>
        <v>0</v>
      </c>
      <c r="N17" s="424">
        <f t="shared" si="3"/>
        <v>0</v>
      </c>
      <c r="O17" s="424">
        <f t="shared" si="3"/>
        <v>0</v>
      </c>
      <c r="P17" s="424">
        <f t="shared" si="3"/>
        <v>0</v>
      </c>
    </row>
    <row r="18" spans="1:16" ht="16.5" customHeight="1">
      <c r="A18" s="143" t="s">
        <v>308</v>
      </c>
      <c r="B18" s="146" t="s">
        <v>310</v>
      </c>
      <c r="C18" s="147" t="str">
        <f>'Najemne V'!C18</f>
        <v>Provozní náklady vlastníka</v>
      </c>
      <c r="D18" s="139" t="str">
        <f t="shared" si="2"/>
        <v>tis. Kč</v>
      </c>
      <c r="F18" s="435">
        <v>0</v>
      </c>
      <c r="G18" s="436">
        <v>0</v>
      </c>
      <c r="H18" s="436">
        <v>0</v>
      </c>
      <c r="I18" s="436">
        <v>0</v>
      </c>
      <c r="J18" s="436">
        <v>0</v>
      </c>
      <c r="K18" s="436"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</row>
    <row r="19" spans="1:16" ht="12">
      <c r="A19" s="143" t="s">
        <v>308</v>
      </c>
      <c r="B19" s="146" t="s">
        <v>310</v>
      </c>
      <c r="C19" s="147" t="str">
        <f>'Najemne V'!C19</f>
        <v>Celková dluhová služba vlastníka</v>
      </c>
      <c r="D19" s="139" t="str">
        <f t="shared" si="2"/>
        <v>tis. Kč</v>
      </c>
      <c r="F19" s="437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</row>
    <row r="20" spans="1:16" ht="12">
      <c r="A20" s="143" t="s">
        <v>308</v>
      </c>
      <c r="C20" s="147" t="str">
        <f>'Najemne V'!C20</f>
        <v> z toho jistina</v>
      </c>
      <c r="D20" s="139" t="str">
        <f t="shared" si="2"/>
        <v>tis. Kč</v>
      </c>
      <c r="F20" s="437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</row>
    <row r="21" spans="3:16" s="149" customFormat="1" ht="12.75">
      <c r="C21" s="150" t="str">
        <f>'Najemne V'!C21</f>
        <v> z toho úroky</v>
      </c>
      <c r="D21" s="149" t="str">
        <f t="shared" si="2"/>
        <v>tis. Kč</v>
      </c>
      <c r="F21" s="288">
        <f aca="true" t="shared" si="4" ref="F21:P21">F19-F20</f>
        <v>0</v>
      </c>
      <c r="G21" s="151">
        <f t="shared" si="4"/>
        <v>0</v>
      </c>
      <c r="H21" s="151">
        <f t="shared" si="4"/>
        <v>0</v>
      </c>
      <c r="I21" s="151">
        <f t="shared" si="4"/>
        <v>0</v>
      </c>
      <c r="J21" s="151">
        <f t="shared" si="4"/>
        <v>0</v>
      </c>
      <c r="K21" s="151">
        <f t="shared" si="4"/>
        <v>0</v>
      </c>
      <c r="L21" s="151">
        <f t="shared" si="4"/>
        <v>0</v>
      </c>
      <c r="M21" s="151">
        <f t="shared" si="4"/>
        <v>0</v>
      </c>
      <c r="N21" s="151">
        <f t="shared" si="4"/>
        <v>0</v>
      </c>
      <c r="O21" s="151">
        <f t="shared" si="4"/>
        <v>0</v>
      </c>
      <c r="P21" s="151">
        <f t="shared" si="4"/>
        <v>0</v>
      </c>
    </row>
    <row r="22" spans="1:16" ht="12">
      <c r="A22" s="143" t="s">
        <v>308</v>
      </c>
      <c r="B22" s="146" t="s">
        <v>310</v>
      </c>
      <c r="C22" s="147" t="str">
        <f>'Najemne V'!C22</f>
        <v>Očekávané daňové povinnosti vlastníka</v>
      </c>
      <c r="D22" s="139" t="str">
        <f t="shared" si="2"/>
        <v>tis. Kč</v>
      </c>
      <c r="F22" s="439">
        <v>0</v>
      </c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</row>
    <row r="23" spans="3:17" ht="16.5" customHeight="1">
      <c r="C23" s="152" t="str">
        <f>IF(CZ_EN=1,VLOOKUP("Roční potřeba vlastních zdrojů na stočné",Slovnik,1,0),VLOOKUP("Roční potřeba vlastních zdrojů na stočné",Slovnik,2,0))</f>
        <v>Roční potřeba vlastních zdrojů na stočné</v>
      </c>
      <c r="D23" s="145" t="str">
        <f t="shared" si="2"/>
        <v>tis. Kč</v>
      </c>
      <c r="E23" s="145"/>
      <c r="F23" s="379">
        <f aca="true" t="shared" si="5" ref="F23:P23">F17+F18+F19+F22</f>
        <v>0</v>
      </c>
      <c r="G23" s="380">
        <f t="shared" si="5"/>
        <v>0</v>
      </c>
      <c r="H23" s="380">
        <f t="shared" si="5"/>
        <v>0</v>
      </c>
      <c r="I23" s="380">
        <f t="shared" si="5"/>
        <v>0</v>
      </c>
      <c r="J23" s="380">
        <f t="shared" si="5"/>
        <v>0</v>
      </c>
      <c r="K23" s="380">
        <f t="shared" si="5"/>
        <v>0</v>
      </c>
      <c r="L23" s="380">
        <f t="shared" si="5"/>
        <v>0</v>
      </c>
      <c r="M23" s="380">
        <f t="shared" si="5"/>
        <v>0</v>
      </c>
      <c r="N23" s="380">
        <f t="shared" si="5"/>
        <v>0</v>
      </c>
      <c r="O23" s="380">
        <f t="shared" si="5"/>
        <v>0</v>
      </c>
      <c r="P23" s="380">
        <f t="shared" si="5"/>
        <v>0</v>
      </c>
      <c r="Q23" s="374">
        <f>SUM(G23:P23)</f>
        <v>0</v>
      </c>
    </row>
    <row r="24" ht="12">
      <c r="Q24" s="375"/>
    </row>
    <row r="25" spans="3:17" ht="22.5" customHeight="1">
      <c r="C25" s="142" t="str">
        <f>'Najemne V'!C25</f>
        <v>Příjem vlastníka</v>
      </c>
      <c r="E25" s="298">
        <f>IF(OR(SUM('Vstupy S'!F108:P108)=0,SUM('Vystupy S'!F56:P56)=0),0,ROUND(('Vstupy S'!F108-'Vystupy S'!F56+'Vstupy S'!G108-'Vystupy S'!G56+'Vstupy S'!H108-'Vystupy S'!H56+'Vstupy S'!I108-'Vystupy S'!I56+'Vstupy S'!J108-'Vystupy S'!J56+'Vstupy S'!K108-'Vystupy S'!K56+'Vstupy S'!L108-'Vystupy S'!L56+'Vstupy S'!M108-'Vystupy S'!M56+'Vstupy S'!N108-'Vystupy S'!N56+'Vstupy S'!O108-'Vystupy S'!O56+'Vstupy S'!P108-'Vystupy S'!P56),4))</f>
        <v>0</v>
      </c>
      <c r="F25" s="296" t="str">
        <f>IF(SUM('Vstupy S'!F108:P108)=0,IF(CZ_EN=1,VLOOKUP("Nájemné - přímý uživatelský vstup",Slovnik,1,0),VLOOKUP("Nájemné - přímý uživatelský vstup",Slovnik,2,0)),IF(E25=0,IF(CZ_EN=1,VLOOKUP("Nájemné koresponduje s cenami",Slovnik,1,0),VLOOKUP("Nájemné koresponduje s cenami",Slovnik,2,0)),IF(CZ_EN=1,VLOOKUP("Nutný přepočet nájemného",Slovnik,1,0),VLOOKUP("Nutný přepočet nájemného",Slovnik,2,0))))</f>
        <v>Nájemné - přímý uživatelský vstup</v>
      </c>
      <c r="I25" s="297"/>
      <c r="J25" s="297" t="str">
        <f>IF(CZ_EN=1,VLOOKUP("Výpočet nájemného dle zadané ceny",Slovnik,1,0),VLOOKUP("Výpočet nájemného dle zadané ceny",Slovnik,2,0))</f>
        <v>Výpočet nájemného dle zadané ceny</v>
      </c>
      <c r="N25" s="297"/>
      <c r="Q25" s="375"/>
    </row>
    <row r="26" spans="1:17" ht="12">
      <c r="A26" s="143" t="s">
        <v>308</v>
      </c>
      <c r="C26" s="144" t="str">
        <f>IF(CZ_EN=1,VLOOKUP("Nájem ze stočného",Slovnik,1,0),VLOOKUP("Nájem ze stočného",Slovnik,2,0))</f>
        <v>Nájem ze stočného</v>
      </c>
      <c r="D26" s="145" t="str">
        <f>IF(CZ_EN=1,VLOOKUP("tis. Kč",Slovnik,1,0),VLOOKUP("tis. Kč",Slovnik,2,0))</f>
        <v>tis. Kč</v>
      </c>
      <c r="E26" s="145"/>
      <c r="F26" s="433">
        <v>0</v>
      </c>
      <c r="G26" s="434">
        <v>880</v>
      </c>
      <c r="H26" s="434">
        <v>880</v>
      </c>
      <c r="I26" s="434">
        <v>880</v>
      </c>
      <c r="J26" s="434">
        <v>880</v>
      </c>
      <c r="K26" s="434">
        <v>880</v>
      </c>
      <c r="L26" s="434">
        <v>880</v>
      </c>
      <c r="M26" s="434">
        <v>880</v>
      </c>
      <c r="N26" s="434">
        <v>880</v>
      </c>
      <c r="O26" s="434">
        <v>880</v>
      </c>
      <c r="P26" s="434">
        <v>880</v>
      </c>
      <c r="Q26" s="374">
        <f>SUM(G26:P26)</f>
        <v>8800</v>
      </c>
    </row>
    <row r="27" spans="3:16" ht="12">
      <c r="C27" s="144" t="str">
        <f>'Najemne V'!C27</f>
        <v>Nájemné dle stanovené ceny</v>
      </c>
      <c r="D27" s="145" t="str">
        <f>$D$5</f>
        <v>tis. Kč</v>
      </c>
      <c r="E27" s="145"/>
      <c r="F27" s="287">
        <f>IF('Vstupy S'!F108=0,0,'Vstupy S'!F108*'Vstupy S'!F28*'Spolecne vstupy'!F21-('Vystupy S'!F30+'Vystupy S'!F31+'Vystupy S'!F33+'Vystupy S'!F34+'Vystupy S'!F36+'Vystupy S'!F37+'Vystupy S'!F38-'Vystupy S'!F47))</f>
        <v>0</v>
      </c>
      <c r="G27" s="148">
        <f>IF('Vstupy S'!G108=0,0,'Vstupy S'!G108*'Vstupy S'!G28*'Spolecne vstupy'!G21-('Vystupy S'!G30+'Vystupy S'!G31+'Vystupy S'!G33+'Vystupy S'!G34+'Vystupy S'!G36+'Vystupy S'!G37+'Vystupy S'!G38-'Vystupy S'!G47))</f>
        <v>0</v>
      </c>
      <c r="H27" s="148">
        <f>IF('Vstupy S'!H108=0,0,'Vstupy S'!H108*'Vstupy S'!H28*'Spolecne vstupy'!H21-('Vystupy S'!H30+'Vystupy S'!H31+'Vystupy S'!H33+'Vystupy S'!H34+'Vystupy S'!H36+'Vystupy S'!H37+'Vystupy S'!H38-'Vystupy S'!H47))</f>
        <v>0</v>
      </c>
      <c r="I27" s="148">
        <f>IF('Vstupy S'!I108=0,0,'Vstupy S'!I108*'Vstupy S'!I28*'Spolecne vstupy'!I21-('Vystupy S'!I30+'Vystupy S'!I31+'Vystupy S'!I33+'Vystupy S'!I34+'Vystupy S'!I36+'Vystupy S'!I37+'Vystupy S'!I38-'Vystupy S'!I47))</f>
        <v>0</v>
      </c>
      <c r="J27" s="148">
        <f>IF('Vstupy S'!J108=0,0,'Vstupy S'!J108*'Vstupy S'!J28*'Spolecne vstupy'!J21-('Vystupy S'!J30+'Vystupy S'!J31+'Vystupy S'!J33+'Vystupy S'!J34+'Vystupy S'!J36+'Vystupy S'!J37+'Vystupy S'!J38-'Vystupy S'!J47))</f>
        <v>0</v>
      </c>
      <c r="K27" s="148">
        <f>IF('Vstupy S'!K108=0,0,'Vstupy S'!K108*'Vstupy S'!K28*'Spolecne vstupy'!K21-('Vystupy S'!K30+'Vystupy S'!K31+'Vystupy S'!K33+'Vystupy S'!K34+'Vystupy S'!K36+'Vystupy S'!K37+'Vystupy S'!K38-'Vystupy S'!K47))</f>
        <v>0</v>
      </c>
      <c r="L27" s="148">
        <f>IF('Vstupy S'!L108=0,0,'Vstupy S'!L108*'Vstupy S'!L28*'Spolecne vstupy'!L21-('Vystupy S'!L30+'Vystupy S'!L31+'Vystupy S'!L33+'Vystupy S'!L34+'Vystupy S'!L36+'Vystupy S'!L37+'Vystupy S'!L38-'Vystupy S'!L47))</f>
        <v>0</v>
      </c>
      <c r="M27" s="148">
        <f>IF('Vstupy S'!M108=0,0,'Vstupy S'!M108*'Vstupy S'!M28*'Spolecne vstupy'!M21-('Vystupy S'!M30+'Vystupy S'!M31+'Vystupy S'!M33+'Vystupy S'!M34+'Vystupy S'!M36+'Vystupy S'!M37+'Vystupy S'!M38-'Vystupy S'!M47))</f>
        <v>0</v>
      </c>
      <c r="N27" s="148">
        <f>IF('Vstupy S'!N108=0,0,'Vstupy S'!N108*'Vstupy S'!N28*'Spolecne vstupy'!N21-('Vystupy S'!N30+'Vystupy S'!N31+'Vystupy S'!N33+'Vystupy S'!N34+'Vystupy S'!N36+'Vystupy S'!N37+'Vystupy S'!N38-'Vystupy S'!N47))</f>
        <v>0</v>
      </c>
      <c r="O27" s="148">
        <f>IF('Vstupy S'!O108=0,0,'Vstupy S'!O108*'Vstupy S'!O28*'Spolecne vstupy'!O21-('Vystupy S'!O30+'Vystupy S'!O31+'Vystupy S'!O33+'Vystupy S'!O34+'Vystupy S'!O36+'Vystupy S'!O37+'Vystupy S'!O38-'Vystupy S'!O47))</f>
        <v>0</v>
      </c>
      <c r="P27" s="148">
        <f>IF('Vstupy S'!P108=0,0,'Vstupy S'!P108*'Vstupy S'!P28*'Spolecne vstupy'!P21-('Vystupy S'!P30+'Vystupy S'!P31+'Vystupy S'!P33+'Vystupy S'!P34+'Vystupy S'!P36+'Vystupy S'!P37+'Vystupy S'!P38-'Vystupy S'!P47))</f>
        <v>0</v>
      </c>
    </row>
    <row r="28" spans="6:16" ht="12">
      <c r="F28" s="374">
        <f>'Vstupy S'!F108*'Vstupy S'!F28*'Spolecne vstupy'!F21-('Vystupy S'!F30+'Vystupy S'!F31+'Vystupy S'!F33+'Vystupy S'!F34+'Vystupy S'!F36+'Vystupy S'!F37+'Vystupy S'!F38-'Vystupy S'!F47)</f>
        <v>0</v>
      </c>
      <c r="G28" s="374">
        <f>'Vstupy S'!G108*'Vstupy S'!G28*'Spolecne vstupy'!G21-('Vystupy S'!G30+'Vystupy S'!G31+'Vystupy S'!G33+'Vystupy S'!G34+'Vystupy S'!G36+'Vystupy S'!G37+'Vystupy S'!G38-'Vystupy S'!G47)</f>
        <v>-4247.319595645412</v>
      </c>
      <c r="H28" s="374">
        <f>'Vstupy S'!H108*'Vstupy S'!H28*'Spolecne vstupy'!H21-('Vystupy S'!H30+'Vystupy S'!H31+'Vystupy S'!H33+'Vystupy S'!H34+'Vystupy S'!H36+'Vystupy S'!H37+'Vystupy S'!H38-'Vystupy S'!H47)</f>
        <v>-5791.87132192846</v>
      </c>
      <c r="I28" s="374">
        <f>'Vstupy S'!I108*'Vstupy S'!I28*'Spolecne vstupy'!I21-('Vystupy S'!I30+'Vystupy S'!I31+'Vystupy S'!I33+'Vystupy S'!I34+'Vystupy S'!I36+'Vystupy S'!I37+'Vystupy S'!I38-'Vystupy S'!I47)</f>
        <v>-6083.257729393467</v>
      </c>
      <c r="J28" s="374">
        <f>'Vstupy S'!J108*'Vstupy S'!J28*'Spolecne vstupy'!J21-('Vystupy S'!J30+'Vystupy S'!J31+'Vystupy S'!J33+'Vystupy S'!J34+'Vystupy S'!J36+'Vystupy S'!J37+'Vystupy S'!J38-'Vystupy S'!J47)</f>
        <v>-6348.154463452566</v>
      </c>
      <c r="K28" s="374">
        <f>'Vstupy S'!K108*'Vstupy S'!K28*'Spolecne vstupy'!K21-('Vystupy S'!K30+'Vystupy S'!K31+'Vystupy S'!K33+'Vystupy S'!K34+'Vystupy S'!K36+'Vystupy S'!K37+'Vystupy S'!K38-'Vystupy S'!K47)</f>
        <v>-6480.602830482115</v>
      </c>
      <c r="L28" s="374">
        <f>'Vstupy S'!L108*'Vstupy S'!L28*'Spolecne vstupy'!L21-('Vystupy S'!L30+'Vystupy S'!L31+'Vystupy S'!L33+'Vystupy S'!L34+'Vystupy S'!L36+'Vystupy S'!L37+'Vystupy S'!L38-'Vystupy S'!L47)</f>
        <v>-6480.602830482115</v>
      </c>
      <c r="M28" s="374">
        <f>'Vstupy S'!M108*'Vstupy S'!M28*'Spolecne vstupy'!M21-('Vystupy S'!M30+'Vystupy S'!M31+'Vystupy S'!M33+'Vystupy S'!M34+'Vystupy S'!M36+'Vystupy S'!M37+'Vystupy S'!M38-'Vystupy S'!M47)</f>
        <v>-6480.602830482115</v>
      </c>
      <c r="N28" s="374">
        <f>'Vstupy S'!N108*'Vstupy S'!N28*'Spolecne vstupy'!N21-('Vystupy S'!N30+'Vystupy S'!N31+'Vystupy S'!N33+'Vystupy S'!N34+'Vystupy S'!N36+'Vystupy S'!N37+'Vystupy S'!N38-'Vystupy S'!N47)</f>
        <v>-6480.602830482115</v>
      </c>
      <c r="O28" s="374">
        <f>'Vstupy S'!O108*'Vstupy S'!O28*'Spolecne vstupy'!O21-('Vystupy S'!O30+'Vystupy S'!O31+'Vystupy S'!O33+'Vystupy S'!O34+'Vystupy S'!O36+'Vystupy S'!O37+'Vystupy S'!O38-'Vystupy S'!O47)</f>
        <v>-6480.602830482115</v>
      </c>
      <c r="P28" s="374">
        <f>'Vstupy S'!P108*'Vstupy S'!P28*'Spolecne vstupy'!P21-('Vystupy S'!P30+'Vystupy S'!P31+'Vystupy S'!P33+'Vystupy S'!P34+'Vystupy S'!P36+'Vystupy S'!P37+'Vystupy S'!P38-'Vystupy S'!P47)</f>
        <v>-6480.602830482115</v>
      </c>
    </row>
    <row r="29" spans="10:13" ht="12.75" hidden="1">
      <c r="J29" s="370" t="str">
        <f>IF(CZ_EN=1,VLOOKUP("Dlouhodobý deficit v nájemném této složky!",Slovnik,1,0),VLOOKUP("Dlouhodobý deficit v nájemném této složky!",Slovnik,2,0))</f>
        <v>Dlouhodobý deficit v nájemném této složky!</v>
      </c>
      <c r="K29" s="371"/>
      <c r="L29" s="371"/>
      <c r="M29" s="371"/>
    </row>
    <row r="31" ht="12" customHeight="1" hidden="1"/>
    <row r="33" ht="14.25" hidden="1">
      <c r="C33" s="153"/>
    </row>
  </sheetData>
  <sheetProtection password="97A7" sheet="1" objects="1" scenarios="1" formatColumns="0" formatRows="0"/>
  <conditionalFormatting sqref="G2:P2">
    <cfRule type="expression" priority="21" dxfId="2" stopIfTrue="1">
      <formula>G$1=1</formula>
    </cfRule>
    <cfRule type="expression" priority="22" dxfId="1" stopIfTrue="1">
      <formula>G$1=2</formula>
    </cfRule>
  </conditionalFormatting>
  <conditionalFormatting sqref="G27:P27 G17:P17 G21:P21 G23:P23">
    <cfRule type="expression" priority="17" dxfId="2" stopIfTrue="1">
      <formula>G$1=1</formula>
    </cfRule>
    <cfRule type="expression" priority="18" dxfId="1" stopIfTrue="1">
      <formula>G$1=2</formula>
    </cfRule>
  </conditionalFormatting>
  <conditionalFormatting sqref="F25">
    <cfRule type="expression" priority="19" dxfId="233" stopIfTrue="1">
      <formula>$E$25=0</formula>
    </cfRule>
    <cfRule type="expression" priority="20" dxfId="234" stopIfTrue="1">
      <formula>$E$25&lt;&gt;0</formula>
    </cfRule>
  </conditionalFormatting>
  <conditionalFormatting sqref="G26:P26">
    <cfRule type="expression" priority="15" dxfId="2" stopIfTrue="1">
      <formula>G$1=1</formula>
    </cfRule>
    <cfRule type="expression" priority="16" dxfId="1" stopIfTrue="1">
      <formula>G$1=2</formula>
    </cfRule>
  </conditionalFormatting>
  <conditionalFormatting sqref="G5:P5">
    <cfRule type="expression" priority="13" dxfId="2" stopIfTrue="1">
      <formula>G$1=1</formula>
    </cfRule>
    <cfRule type="expression" priority="14" dxfId="1" stopIfTrue="1">
      <formula>G$1=2</formula>
    </cfRule>
  </conditionalFormatting>
  <conditionalFormatting sqref="G10:P10">
    <cfRule type="expression" priority="11" dxfId="2" stopIfTrue="1">
      <formula>G$1=1</formula>
    </cfRule>
    <cfRule type="expression" priority="12" dxfId="1" stopIfTrue="1">
      <formula>G$1=2</formula>
    </cfRule>
  </conditionalFormatting>
  <conditionalFormatting sqref="G6:P8">
    <cfRule type="expression" priority="9" dxfId="2" stopIfTrue="1">
      <formula>G$1=1</formula>
    </cfRule>
    <cfRule type="expression" priority="10" dxfId="1" stopIfTrue="1">
      <formula>G$1=2</formula>
    </cfRule>
  </conditionalFormatting>
  <conditionalFormatting sqref="G11:P13">
    <cfRule type="expression" priority="7" dxfId="2" stopIfTrue="1">
      <formula>G$1=1</formula>
    </cfRule>
    <cfRule type="expression" priority="8" dxfId="1" stopIfTrue="1">
      <formula>G$1=2</formula>
    </cfRule>
  </conditionalFormatting>
  <conditionalFormatting sqref="G18:P20">
    <cfRule type="expression" priority="5" dxfId="2" stopIfTrue="1">
      <formula>G$1=1</formula>
    </cfRule>
    <cfRule type="expression" priority="6" dxfId="1" stopIfTrue="1">
      <formula>G$1=2</formula>
    </cfRule>
  </conditionalFormatting>
  <conditionalFormatting sqref="G22:P22">
    <cfRule type="expression" priority="3" dxfId="2" stopIfTrue="1">
      <formula>G$1=1</formula>
    </cfRule>
    <cfRule type="expression" priority="4" dxfId="1" stopIfTrue="1">
      <formula>G$1=2</formula>
    </cfRule>
  </conditionalFormatting>
  <conditionalFormatting sqref="G15:P15">
    <cfRule type="expression" priority="1" dxfId="2" stopIfTrue="1">
      <formula>G$1=1</formula>
    </cfRule>
    <cfRule type="expression" priority="2" dxfId="1" stopIfTrue="1">
      <formula>G$1=2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3"/>
  <headerFooter alignWithMargins="0">
    <oddFooter>&amp;L&amp;A
&amp;F&amp;C&amp;P celkem &amp;N&amp;R&amp;T
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indexed="44"/>
  </sheetPr>
  <dimension ref="A1:Q116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5" zeroHeight="1"/>
  <cols>
    <col min="1" max="2" width="4.57421875" style="1" customWidth="1"/>
    <col min="3" max="3" width="51.8515625" style="1" customWidth="1"/>
    <col min="4" max="4" width="13.140625" style="18" customWidth="1"/>
    <col min="5" max="16" width="10.140625" style="18" customWidth="1"/>
    <col min="17" max="17" width="5.8515625" style="1" customWidth="1"/>
    <col min="18" max="16384" width="9.140625" style="1" hidden="1" customWidth="1"/>
  </cols>
  <sheetData>
    <row r="1" spans="6:16" ht="14.25">
      <c r="F1" s="9">
        <f aca="true" t="shared" si="0" ref="F1:P1">IF(F2=current,0,IF(F2&lt;=current+DoPCP,1,IF(F2&lt;=current+clDW,2,3)))</f>
        <v>0</v>
      </c>
      <c r="G1" s="9">
        <f t="shared" si="0"/>
        <v>1</v>
      </c>
      <c r="H1" s="9">
        <f t="shared" si="0"/>
        <v>1</v>
      </c>
      <c r="I1" s="9">
        <f t="shared" si="0"/>
        <v>1</v>
      </c>
      <c r="J1" s="9">
        <f t="shared" si="0"/>
        <v>1</v>
      </c>
      <c r="K1" s="9">
        <f t="shared" si="0"/>
        <v>1</v>
      </c>
      <c r="L1" s="9">
        <f t="shared" si="0"/>
        <v>2</v>
      </c>
      <c r="M1" s="9">
        <f t="shared" si="0"/>
        <v>2</v>
      </c>
      <c r="N1" s="9">
        <f t="shared" si="0"/>
        <v>2</v>
      </c>
      <c r="O1" s="9">
        <f t="shared" si="0"/>
        <v>2</v>
      </c>
      <c r="P1" s="9">
        <f t="shared" si="0"/>
        <v>2</v>
      </c>
    </row>
    <row r="2" spans="3:16" ht="22.5" customHeight="1">
      <c r="C2" s="2" t="str">
        <f>IF(CZ_EN=1,VLOOKUP("VSTUPY PRO VODNÉ",Slovnik,1,0),VLOOKUP("VSTUPY PRO VODNÉ",Slovnik,2,0))</f>
        <v>VSTUPY PRO VODNÉ</v>
      </c>
      <c r="D2" s="10" t="str">
        <f>'Spolecne vstupy'!$C$17</f>
        <v>rok</v>
      </c>
      <c r="E2" s="209">
        <f>F2-1</f>
        <v>2020</v>
      </c>
      <c r="F2" s="289">
        <f>current</f>
        <v>2021</v>
      </c>
      <c r="G2" s="134">
        <f>F2+1</f>
        <v>2022</v>
      </c>
      <c r="H2" s="134">
        <f aca="true" t="shared" si="1" ref="H2:P2">G2+1</f>
        <v>2023</v>
      </c>
      <c r="I2" s="134">
        <f t="shared" si="1"/>
        <v>2024</v>
      </c>
      <c r="J2" s="134">
        <f t="shared" si="1"/>
        <v>2025</v>
      </c>
      <c r="K2" s="134">
        <f t="shared" si="1"/>
        <v>2026</v>
      </c>
      <c r="L2" s="134">
        <f t="shared" si="1"/>
        <v>2027</v>
      </c>
      <c r="M2" s="134">
        <f t="shared" si="1"/>
        <v>2028</v>
      </c>
      <c r="N2" s="134">
        <f t="shared" si="1"/>
        <v>2029</v>
      </c>
      <c r="O2" s="134">
        <f t="shared" si="1"/>
        <v>2030</v>
      </c>
      <c r="P2" s="134">
        <f t="shared" si="1"/>
        <v>2031</v>
      </c>
    </row>
    <row r="3" ht="14.25">
      <c r="D3" s="25"/>
    </row>
    <row r="4" spans="2:16" ht="14.25">
      <c r="B4" s="62" t="s">
        <v>2</v>
      </c>
      <c r="C4" s="62" t="str">
        <f>IF(CZ_EN=1,VLOOKUP("Vstupy vlastníka",Slovnik,1,0),VLOOKUP("Vstupy vlastníka",Slovnik,2,0))</f>
        <v>Vstupy vlastníka</v>
      </c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ht="14.25">
      <c r="D5" s="25"/>
    </row>
    <row r="6" spans="1:16" ht="14.25">
      <c r="A6" s="143" t="s">
        <v>308</v>
      </c>
      <c r="C6" s="15" t="str">
        <f>IF(CZ_EN=1,VLOOKUP("Nájemné",Slovnik,1,0),VLOOKUP("Nájemné",Slovnik,2,0))</f>
        <v>Nájemné</v>
      </c>
      <c r="D6" s="40" t="str">
        <f>IF(CZ_EN=1,VLOOKUP("tis. Kč",Slovnik,1,0),VLOOKUP("tis. Kč",Slovnik,2,0))</f>
        <v>tis. Kč</v>
      </c>
      <c r="E6" s="210">
        <v>0</v>
      </c>
      <c r="F6" s="290">
        <f>'Najemne V'!F26</f>
        <v>0</v>
      </c>
      <c r="G6" s="158">
        <f>'Najemne V'!G26</f>
        <v>518</v>
      </c>
      <c r="H6" s="158">
        <f>'Najemne V'!H26</f>
        <v>518</v>
      </c>
      <c r="I6" s="158">
        <f>'Najemne V'!I26</f>
        <v>518</v>
      </c>
      <c r="J6" s="158">
        <f>'Najemne V'!J26</f>
        <v>518</v>
      </c>
      <c r="K6" s="158">
        <f>'Najemne V'!K26</f>
        <v>518</v>
      </c>
      <c r="L6" s="158">
        <f>'Najemne V'!L26</f>
        <v>518</v>
      </c>
      <c r="M6" s="158">
        <f>'Najemne V'!M26</f>
        <v>518</v>
      </c>
      <c r="N6" s="158">
        <f>'Najemne V'!N26</f>
        <v>518</v>
      </c>
      <c r="O6" s="158">
        <f>'Najemne V'!O26</f>
        <v>518</v>
      </c>
      <c r="P6" s="158">
        <f>'Najemne V'!P26</f>
        <v>518</v>
      </c>
    </row>
    <row r="7" spans="1:16" ht="14.25">
      <c r="A7" s="18"/>
      <c r="B7" s="18"/>
      <c r="C7" s="18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 hidden="1">
      <c r="A8" s="18"/>
      <c r="B8" s="18"/>
      <c r="C8" s="37" t="str">
        <f>IF(CZ_EN=1,VLOOKUP("Přístup k vyhlazení ceny",Slovnik,1,0),VLOOKUP("Přístup k vyhlazení ceny",Slovnik,2,0))</f>
        <v>Přístup k vyhlazení ceny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3.5" hidden="1">
      <c r="A9" s="18"/>
      <c r="B9" s="18"/>
      <c r="C9" s="18" t="str">
        <f>IF(CZ_EN=1,VLOOKUP("Žádné / konstantní růst",Slovnik,1,0),VLOOKUP("Žádné / konstantní růst",Slovnik,2,0))</f>
        <v>Žádné / konstantní růst</v>
      </c>
      <c r="D9" s="26"/>
      <c r="E9" s="428">
        <v>1</v>
      </c>
      <c r="F9" s="112"/>
      <c r="G9" s="113"/>
      <c r="H9" s="27"/>
      <c r="I9" s="27"/>
      <c r="J9" s="27"/>
      <c r="K9" s="27"/>
      <c r="L9" s="27"/>
      <c r="M9" s="27"/>
      <c r="N9" s="27"/>
      <c r="O9" s="27"/>
      <c r="P9" s="27"/>
    </row>
    <row r="10" spans="1:16" ht="13.5" hidden="1">
      <c r="A10" s="18"/>
      <c r="B10" s="18"/>
      <c r="C10" s="18" t="str">
        <f>IF(CZ_EN=1,VLOOKUP("% ročního reálného růstu pro konstantní nárůst",Slovnik,1,0),VLOOKUP("% ročního reálného růstu pro konstantní nárůst",Slovnik,2,0))</f>
        <v>% ročního reálného růstu pro konstantní nárůst</v>
      </c>
      <c r="D10" s="26"/>
      <c r="E10" s="12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4" ht="14.25">
      <c r="A11" s="18"/>
      <c r="B11" s="18"/>
      <c r="C11" s="18"/>
      <c r="D11" s="25"/>
    </row>
    <row r="12" spans="1:16" ht="14.25">
      <c r="A12" s="18"/>
      <c r="B12" s="62" t="s">
        <v>8</v>
      </c>
      <c r="C12" s="62" t="str">
        <f>IF(CZ_EN=1,VLOOKUP("Vstupy vlastníka / provozovatele",Slovnik,1,0),VLOOKUP("Vstupy vlastníka / provozovatele",Slovnik,2,0))</f>
        <v>Vstupy vlastníka / provozovatele</v>
      </c>
      <c r="D12" s="6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4" ht="14.25">
      <c r="A13" s="18"/>
      <c r="B13" s="18"/>
      <c r="C13" s="18"/>
      <c r="D13" s="25"/>
    </row>
    <row r="14" spans="1:5" ht="14.25">
      <c r="A14" s="18"/>
      <c r="B14" s="18"/>
      <c r="C14" s="41" t="str">
        <f>CONCATENATE(IF(CZ_EN=1,VLOOKUP("Požadované VaPNaK",Slovnik,1,0),VLOOKUP("Požadované VaPNaK",Slovnik,2,0))," - ",IF(CZ_EN=1,VLOOKUP("Základní hodnota",Slovnik,1,0),VLOOKUP("Základní hodnota",Slovnik,2,0)))</f>
        <v>Požadované VaPNaK - Základní hodnota</v>
      </c>
      <c r="D14" s="41"/>
      <c r="E14" s="355">
        <v>0.07</v>
      </c>
    </row>
    <row r="15" spans="1:5" ht="14.25">
      <c r="A15" s="18"/>
      <c r="B15" s="18"/>
      <c r="C15" s="45" t="str">
        <f>IF(CZ_EN=1,VLOOKUP("Upravená hodnota (pro provozní společnost)",Slovnik,1,0),VLOOKUP("Upravená hodnota (pro provozní společnost)",Slovnik,2,0))</f>
        <v>Upravená hodnota (pro provozní společnost)</v>
      </c>
      <c r="D15" s="45"/>
      <c r="E15" s="161">
        <f>E14</f>
        <v>0.07</v>
      </c>
    </row>
    <row r="16" spans="1:4" ht="14.25">
      <c r="A16" s="18"/>
      <c r="B16" s="18"/>
      <c r="C16" s="18"/>
      <c r="D16" s="25"/>
    </row>
    <row r="17" spans="1:5" ht="14.25">
      <c r="A17" s="143" t="s">
        <v>308</v>
      </c>
      <c r="B17" s="18"/>
      <c r="C17" s="15" t="str">
        <f>IF(CZ_EN=1,VLOOKUP("Zbývající délka smlouvy",Slovnik,1,0),VLOOKUP("Zbývající délka smlouvy",Slovnik,2,0))</f>
        <v>Zbývající délka smlouvy</v>
      </c>
      <c r="D17" s="40" t="str">
        <f>IF(CZ_EN=1,VLOOKUP("roky",Slovnik,1,0),VLOOKUP("roky",Slovnik,2,0))</f>
        <v>roky</v>
      </c>
      <c r="E17" s="136">
        <v>10</v>
      </c>
    </row>
    <row r="18" spans="1:4" ht="14.25">
      <c r="A18" s="18"/>
      <c r="B18" s="18"/>
      <c r="C18" s="18"/>
      <c r="D18" s="25"/>
    </row>
    <row r="19" spans="1:16" ht="14.25">
      <c r="A19" s="18"/>
      <c r="B19" s="18"/>
      <c r="C19" s="37" t="str">
        <f>IF(CZ_EN=1,VLOOKUP("Výroba",Slovnik,1,0),VLOOKUP("Výroba",Slovnik,2,0))</f>
        <v>Výroba</v>
      </c>
      <c r="D19" s="28"/>
      <c r="E19" s="372">
        <f>E2</f>
        <v>2020</v>
      </c>
      <c r="F19" s="372">
        <f aca="true" t="shared" si="2" ref="F19:P19">F2</f>
        <v>2021</v>
      </c>
      <c r="G19" s="372">
        <f t="shared" si="2"/>
        <v>2022</v>
      </c>
      <c r="H19" s="372">
        <f t="shared" si="2"/>
        <v>2023</v>
      </c>
      <c r="I19" s="372">
        <f t="shared" si="2"/>
        <v>2024</v>
      </c>
      <c r="J19" s="372">
        <f t="shared" si="2"/>
        <v>2025</v>
      </c>
      <c r="K19" s="372">
        <f t="shared" si="2"/>
        <v>2026</v>
      </c>
      <c r="L19" s="372">
        <f t="shared" si="2"/>
        <v>2027</v>
      </c>
      <c r="M19" s="372">
        <f t="shared" si="2"/>
        <v>2028</v>
      </c>
      <c r="N19" s="372">
        <f t="shared" si="2"/>
        <v>2029</v>
      </c>
      <c r="O19" s="372">
        <f t="shared" si="2"/>
        <v>2030</v>
      </c>
      <c r="P19" s="372">
        <f t="shared" si="2"/>
        <v>2031</v>
      </c>
    </row>
    <row r="20" spans="1:16" ht="14.25">
      <c r="A20" s="143" t="s">
        <v>308</v>
      </c>
      <c r="B20" s="18"/>
      <c r="C20" s="41" t="str">
        <f>IF(CZ_EN=1,VLOOKUP(" - objem vody vyrobené",Slovnik,1,0),VLOOKUP(" - objem vody vyrobené",Slovnik,2,0))</f>
        <v> - objem vody vyrobené</v>
      </c>
      <c r="D20" s="42" t="str">
        <f>IF(CZ_EN=1,VLOOKUP("tis. m3/rok",Slovnik,1,0),VLOOKUP("tis. m3/rok",Slovnik,2,0))</f>
        <v>tis. m3/rok</v>
      </c>
      <c r="E20" s="205">
        <v>0</v>
      </c>
      <c r="F20" s="445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6">
        <v>0</v>
      </c>
      <c r="M20" s="446">
        <v>0</v>
      </c>
      <c r="N20" s="446">
        <v>0</v>
      </c>
      <c r="O20" s="446">
        <v>0</v>
      </c>
      <c r="P20" s="446">
        <v>0</v>
      </c>
    </row>
    <row r="21" spans="1:16" ht="14.25">
      <c r="A21" s="143" t="s">
        <v>308</v>
      </c>
      <c r="B21" s="18"/>
      <c r="C21" s="44" t="str">
        <f>IF(CZ_EN=1,VLOOKUP(" - objem vody převzaté",Slovnik,1,0),VLOOKUP(" - objem vody převzaté",Slovnik,2,0))</f>
        <v> - objem vody převzaté</v>
      </c>
      <c r="D21" s="28" t="str">
        <f>$D$20</f>
        <v>tis. m3/rok</v>
      </c>
      <c r="E21" s="207">
        <v>0</v>
      </c>
      <c r="F21" s="443">
        <v>0</v>
      </c>
      <c r="G21" s="444">
        <v>127</v>
      </c>
      <c r="H21" s="444">
        <v>130</v>
      </c>
      <c r="I21" s="444">
        <v>135</v>
      </c>
      <c r="J21" s="444">
        <v>140</v>
      </c>
      <c r="K21" s="444">
        <v>145</v>
      </c>
      <c r="L21" s="444">
        <v>145</v>
      </c>
      <c r="M21" s="444">
        <v>145</v>
      </c>
      <c r="N21" s="444">
        <v>145</v>
      </c>
      <c r="O21" s="444">
        <v>145</v>
      </c>
      <c r="P21" s="444">
        <v>145</v>
      </c>
    </row>
    <row r="22" spans="1:16" ht="14.25">
      <c r="A22" s="143" t="s">
        <v>308</v>
      </c>
      <c r="B22" s="18"/>
      <c r="C22" s="45" t="str">
        <f>IF(CZ_EN=1,VLOOKUP(" - objem vody předané",Slovnik,1,0),VLOOKUP(" - objem vody předané",Slovnik,2,0))</f>
        <v> - objem vody předané</v>
      </c>
      <c r="D22" s="46" t="str">
        <f>$D$20</f>
        <v>tis. m3/rok</v>
      </c>
      <c r="E22" s="211">
        <v>0</v>
      </c>
      <c r="F22" s="441">
        <v>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</row>
    <row r="23" spans="1:16" ht="14.25">
      <c r="A23" s="18"/>
      <c r="B23" s="18"/>
      <c r="C23" s="45" t="str">
        <f>IF(CZ_EN=1,VLOOKUP("Voda k realizaci",Slovnik,1,0),VLOOKUP("Voda k realizaci",Slovnik,2,0))</f>
        <v>Voda k realizaci</v>
      </c>
      <c r="D23" s="46" t="str">
        <f>$D$20</f>
        <v>tis. m3/rok</v>
      </c>
      <c r="E23" s="212">
        <f aca="true" t="shared" si="3" ref="E23:P23">E20+E21-E22</f>
        <v>0</v>
      </c>
      <c r="F23" s="291">
        <f t="shared" si="3"/>
        <v>0</v>
      </c>
      <c r="G23" s="47">
        <f t="shared" si="3"/>
        <v>127</v>
      </c>
      <c r="H23" s="47">
        <f t="shared" si="3"/>
        <v>130</v>
      </c>
      <c r="I23" s="47">
        <f t="shared" si="3"/>
        <v>135</v>
      </c>
      <c r="J23" s="47">
        <f t="shared" si="3"/>
        <v>140</v>
      </c>
      <c r="K23" s="47">
        <f t="shared" si="3"/>
        <v>145</v>
      </c>
      <c r="L23" s="47">
        <f t="shared" si="3"/>
        <v>145</v>
      </c>
      <c r="M23" s="47">
        <f t="shared" si="3"/>
        <v>145</v>
      </c>
      <c r="N23" s="47">
        <f t="shared" si="3"/>
        <v>145</v>
      </c>
      <c r="O23" s="47">
        <f t="shared" si="3"/>
        <v>145</v>
      </c>
      <c r="P23" s="47">
        <f t="shared" si="3"/>
        <v>145</v>
      </c>
    </row>
    <row r="24" spans="1:16" ht="14.25">
      <c r="A24" s="18"/>
      <c r="B24" s="18"/>
      <c r="C24" s="18"/>
      <c r="D24" s="2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>
      <c r="A25" s="18"/>
      <c r="B25" s="18"/>
      <c r="C25" s="37" t="str">
        <f>IF(CZ_EN=1,VLOOKUP("Objem vody dodané",Slovnik,1,0),VLOOKUP("Objem vody dodané",Slovnik,2,0))</f>
        <v>Objem vody dodané</v>
      </c>
      <c r="D25" s="25"/>
      <c r="E25" s="373">
        <f>E2</f>
        <v>2020</v>
      </c>
      <c r="F25" s="373">
        <f aca="true" t="shared" si="4" ref="F25:P25">F2</f>
        <v>2021</v>
      </c>
      <c r="G25" s="373">
        <f t="shared" si="4"/>
        <v>2022</v>
      </c>
      <c r="H25" s="373">
        <f t="shared" si="4"/>
        <v>2023</v>
      </c>
      <c r="I25" s="373">
        <f t="shared" si="4"/>
        <v>2024</v>
      </c>
      <c r="J25" s="373">
        <f t="shared" si="4"/>
        <v>2025</v>
      </c>
      <c r="K25" s="373">
        <f t="shared" si="4"/>
        <v>2026</v>
      </c>
      <c r="L25" s="373">
        <f t="shared" si="4"/>
        <v>2027</v>
      </c>
      <c r="M25" s="373">
        <f t="shared" si="4"/>
        <v>2028</v>
      </c>
      <c r="N25" s="373">
        <f t="shared" si="4"/>
        <v>2029</v>
      </c>
      <c r="O25" s="373">
        <f t="shared" si="4"/>
        <v>2030</v>
      </c>
      <c r="P25" s="373">
        <f t="shared" si="4"/>
        <v>2031</v>
      </c>
    </row>
    <row r="26" spans="1:16" ht="14.25">
      <c r="A26" s="143" t="s">
        <v>308</v>
      </c>
      <c r="B26" s="18"/>
      <c r="C26" s="41" t="str">
        <f>IF(CZ_EN=1,VLOOKUP(" - domácnosti",Slovnik,1,0),VLOOKUP(" - domácnosti",Slovnik,2,0))</f>
        <v> - domácnosti</v>
      </c>
      <c r="D26" s="42" t="str">
        <f>$D$20</f>
        <v>tis. m3/rok</v>
      </c>
      <c r="E26" s="205">
        <v>0</v>
      </c>
      <c r="F26" s="445">
        <v>0</v>
      </c>
      <c r="G26" s="446">
        <v>76</v>
      </c>
      <c r="H26" s="446">
        <v>78</v>
      </c>
      <c r="I26" s="446">
        <v>80</v>
      </c>
      <c r="J26" s="446">
        <v>84</v>
      </c>
      <c r="K26" s="446">
        <v>88</v>
      </c>
      <c r="L26" s="446">
        <v>88</v>
      </c>
      <c r="M26" s="446">
        <v>88</v>
      </c>
      <c r="N26" s="446">
        <v>88</v>
      </c>
      <c r="O26" s="446">
        <v>88</v>
      </c>
      <c r="P26" s="446">
        <v>88</v>
      </c>
    </row>
    <row r="27" spans="1:16" ht="14.25">
      <c r="A27" s="18"/>
      <c r="B27" s="18"/>
      <c r="C27" s="45" t="str">
        <f>IF(CZ_EN=1,VLOOKUP(" - ostatní",Slovnik,1,0),VLOOKUP(" - ostatní",Slovnik,2,0))</f>
        <v> - ostatní</v>
      </c>
      <c r="D27" s="46" t="str">
        <f>$D$20</f>
        <v>tis. m3/rok</v>
      </c>
      <c r="E27" s="212">
        <f aca="true" t="shared" si="5" ref="E27:P27">E28-E26</f>
        <v>0</v>
      </c>
      <c r="F27" s="291">
        <f t="shared" si="5"/>
        <v>0</v>
      </c>
      <c r="G27" s="47">
        <f t="shared" si="5"/>
        <v>51</v>
      </c>
      <c r="H27" s="47">
        <f t="shared" si="5"/>
        <v>52</v>
      </c>
      <c r="I27" s="47">
        <f t="shared" si="5"/>
        <v>55</v>
      </c>
      <c r="J27" s="47">
        <f t="shared" si="5"/>
        <v>56</v>
      </c>
      <c r="K27" s="47">
        <f t="shared" si="5"/>
        <v>57</v>
      </c>
      <c r="L27" s="47">
        <f t="shared" si="5"/>
        <v>57</v>
      </c>
      <c r="M27" s="47">
        <f t="shared" si="5"/>
        <v>57</v>
      </c>
      <c r="N27" s="47">
        <f t="shared" si="5"/>
        <v>57</v>
      </c>
      <c r="O27" s="47">
        <f t="shared" si="5"/>
        <v>57</v>
      </c>
      <c r="P27" s="47">
        <f t="shared" si="5"/>
        <v>57</v>
      </c>
    </row>
    <row r="28" spans="1:16" ht="14.25">
      <c r="A28" s="143" t="s">
        <v>308</v>
      </c>
      <c r="B28" s="18"/>
      <c r="C28" s="45" t="str">
        <f>IF(CZ_EN=1,VLOOKUP("Objem vody dodané - celkem",Slovnik,1,0),VLOOKUP("Objem vody dodané - celkem",Slovnik,2,0))</f>
        <v>Objem vody dodané - celkem</v>
      </c>
      <c r="D28" s="46" t="str">
        <f>$D$20</f>
        <v>tis. m3/rok</v>
      </c>
      <c r="E28" s="210">
        <v>0</v>
      </c>
      <c r="F28" s="448">
        <f>'[1]PV ex ante'!F180</f>
        <v>0</v>
      </c>
      <c r="G28" s="449">
        <f>'[1]PV ex ante'!G180</f>
        <v>127</v>
      </c>
      <c r="H28" s="449">
        <f>'[1]PV ex ante'!H180</f>
        <v>130</v>
      </c>
      <c r="I28" s="449">
        <f>'[1]PV ex ante'!I180</f>
        <v>135</v>
      </c>
      <c r="J28" s="449">
        <f>'[1]PV ex ante'!J180</f>
        <v>140</v>
      </c>
      <c r="K28" s="449">
        <f>'[1]PV ex ante'!K180</f>
        <v>145</v>
      </c>
      <c r="L28" s="449">
        <f>'[1]PV ex ante'!L180</f>
        <v>145</v>
      </c>
      <c r="M28" s="449">
        <f>'[1]PV ex ante'!M180</f>
        <v>145</v>
      </c>
      <c r="N28" s="449">
        <f>'[1]PV ex ante'!N180</f>
        <v>145</v>
      </c>
      <c r="O28" s="449">
        <f>'[1]PV ex ante'!O180</f>
        <v>145</v>
      </c>
      <c r="P28" s="449">
        <f>'[1]PV ex ante'!P180</f>
        <v>145</v>
      </c>
    </row>
    <row r="29" spans="1:16" ht="14.25">
      <c r="A29" s="18"/>
      <c r="B29" s="18"/>
      <c r="C29" s="18"/>
      <c r="D29" s="412" t="s">
        <v>594</v>
      </c>
      <c r="E29" s="447">
        <f>SUM(F29:P29)</f>
        <v>0</v>
      </c>
      <c r="F29" s="39">
        <f>F28-'[1]PV ex ante'!F180</f>
        <v>0</v>
      </c>
      <c r="G29" s="39">
        <f>G28-'[1]PV ex ante'!G180</f>
        <v>0</v>
      </c>
      <c r="H29" s="39">
        <f>H28-'[1]PV ex ante'!H180</f>
        <v>0</v>
      </c>
      <c r="I29" s="39">
        <f>I28-'[1]PV ex ante'!I180</f>
        <v>0</v>
      </c>
      <c r="J29" s="39">
        <f>J28-'[1]PV ex ante'!J180</f>
        <v>0</v>
      </c>
      <c r="K29" s="39">
        <f>K28-'[1]PV ex ante'!K180</f>
        <v>0</v>
      </c>
      <c r="L29" s="39">
        <f>L28-'[1]PV ex ante'!L180</f>
        <v>0</v>
      </c>
      <c r="M29" s="39">
        <f>M28-'[1]PV ex ante'!M180</f>
        <v>0</v>
      </c>
      <c r="N29" s="39">
        <f>N28-'[1]PV ex ante'!N180</f>
        <v>0</v>
      </c>
      <c r="O29" s="39">
        <f>O28-'[1]PV ex ante'!O180</f>
        <v>0</v>
      </c>
      <c r="P29" s="39">
        <f>P28-'[1]PV ex ante'!P180</f>
        <v>0</v>
      </c>
    </row>
    <row r="30" spans="1:16" ht="14.25">
      <c r="A30" s="18"/>
      <c r="B30" s="62" t="s">
        <v>10</v>
      </c>
      <c r="C30" s="62" t="str">
        <f>IF(CZ_EN=1,VLOOKUP("Vstupy provozovatele",Slovnik,1,0),VLOOKUP("Vstupy provozovatele",Slovnik,2,0))</f>
        <v>Vstupy provozovatele</v>
      </c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4.25">
      <c r="A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8"/>
      <c r="B32" s="18"/>
      <c r="C32" s="37" t="str">
        <f>CONCATENATE(IF(CZ_EN=1,VLOOKUP("Přidělený provozní NEBO infrastrukturní majetek",Slovnik,1,0),VLOOKUP("Přidělený provozní NEBO infrastrukturní majetek",Slovnik,2,0))," (",IF(CZ_EN=1,VLOOKUP("provozovatele",Slovnik,1,0),VLOOKUP("provozovatele",Slovnik,2,0)),")")</f>
        <v>Přidělený provozní NEBO infrastrukturní majetek (provozovatele)</v>
      </c>
      <c r="D32" s="25"/>
      <c r="E32" s="32"/>
      <c r="F32" s="32"/>
      <c r="G32" s="35"/>
      <c r="H32" s="35"/>
      <c r="I32" s="32"/>
      <c r="J32" s="32"/>
      <c r="K32" s="32"/>
      <c r="L32" s="32"/>
      <c r="M32" s="32"/>
      <c r="N32" s="32"/>
      <c r="O32" s="225" t="s">
        <v>403</v>
      </c>
      <c r="P32" s="226" t="s">
        <v>402</v>
      </c>
    </row>
    <row r="33" spans="1:16" ht="14.25">
      <c r="A33" s="143" t="s">
        <v>308</v>
      </c>
      <c r="B33" s="18"/>
      <c r="C33" s="15" t="str">
        <f>IF(CZ_EN=1,VLOOKUP("Vstupní ReHoM",Slovnik,1,0),VLOOKUP("Vstupní ReHoM",Slovnik,2,0))</f>
        <v>Vstupní ReHoM</v>
      </c>
      <c r="D33" s="40" t="str">
        <f>$D$6</f>
        <v>tis. Kč</v>
      </c>
      <c r="E33" s="170">
        <f>'[2]Nabidka dodavatele'!$F$24</f>
        <v>0</v>
      </c>
      <c r="F33" s="32"/>
      <c r="G33" s="35"/>
      <c r="H33" s="35"/>
      <c r="I33" s="32"/>
      <c r="J33" s="32"/>
      <c r="K33" s="32"/>
      <c r="L33" s="32"/>
      <c r="M33" s="32"/>
      <c r="N33" s="32"/>
      <c r="O33" s="32"/>
      <c r="P33" s="32"/>
    </row>
    <row r="34" spans="5:17" ht="14.25">
      <c r="E34" s="31">
        <f>E2</f>
        <v>2020</v>
      </c>
      <c r="F34" s="31">
        <f aca="true" t="shared" si="6" ref="F34:P34">F2</f>
        <v>2021</v>
      </c>
      <c r="G34" s="31">
        <f t="shared" si="6"/>
        <v>2022</v>
      </c>
      <c r="H34" s="31">
        <f t="shared" si="6"/>
        <v>2023</v>
      </c>
      <c r="I34" s="31">
        <f t="shared" si="6"/>
        <v>2024</v>
      </c>
      <c r="J34" s="31">
        <f t="shared" si="6"/>
        <v>2025</v>
      </c>
      <c r="K34" s="31">
        <f t="shared" si="6"/>
        <v>2026</v>
      </c>
      <c r="L34" s="31">
        <f t="shared" si="6"/>
        <v>2027</v>
      </c>
      <c r="M34" s="31">
        <f t="shared" si="6"/>
        <v>2028</v>
      </c>
      <c r="N34" s="31">
        <f t="shared" si="6"/>
        <v>2029</v>
      </c>
      <c r="O34" s="31">
        <f t="shared" si="6"/>
        <v>2030</v>
      </c>
      <c r="P34" s="31">
        <f t="shared" si="6"/>
        <v>2031</v>
      </c>
      <c r="Q34" s="9">
        <f>Q35+Q37</f>
        <v>0</v>
      </c>
    </row>
    <row r="35" spans="1:17" ht="14.25">
      <c r="A35" s="143" t="s">
        <v>308</v>
      </c>
      <c r="B35" s="18"/>
      <c r="C35" s="41" t="str">
        <f>CONCATENATE(IF(CZ_EN=1,VLOOKUP("Účetní odpisy stávajícího majetku",Slovnik,1,0),VLOOKUP("Účetní odpisy stávajícího majetku",Slovnik,2,0))," - ",IF(CZ_EN=1,VLOOKUP("Běžné ceny",Slovnik,1,0),VLOOKUP("Běžné ceny",Slovnik,2,0)))</f>
        <v>Účetní odpisy stávajícího majetku - Běžné ceny</v>
      </c>
      <c r="D35" s="48" t="str">
        <f>$D$6</f>
        <v>tis. Kč</v>
      </c>
      <c r="E35" s="205">
        <v>0</v>
      </c>
      <c r="F35" s="445">
        <v>0</v>
      </c>
      <c r="G35" s="446">
        <f>'[2]Nabidka dodavatele'!G25</f>
        <v>0</v>
      </c>
      <c r="H35" s="446">
        <f>'[2]Nabidka dodavatele'!H25</f>
        <v>0</v>
      </c>
      <c r="I35" s="446">
        <f>'[2]Nabidka dodavatele'!I25</f>
        <v>0</v>
      </c>
      <c r="J35" s="446">
        <f>'[2]Nabidka dodavatele'!J25</f>
        <v>0</v>
      </c>
      <c r="K35" s="446">
        <f>'[2]Nabidka dodavatele'!K25</f>
        <v>0</v>
      </c>
      <c r="L35" s="446">
        <f>'[2]Nabidka dodavatele'!L25</f>
        <v>0</v>
      </c>
      <c r="M35" s="446">
        <f>'[2]Nabidka dodavatele'!M25</f>
        <v>0</v>
      </c>
      <c r="N35" s="446">
        <f>'[2]Nabidka dodavatele'!N25</f>
        <v>0</v>
      </c>
      <c r="O35" s="446">
        <f>'[2]Nabidka dodavatele'!O25</f>
        <v>0</v>
      </c>
      <c r="P35" s="446">
        <f>'[2]Nabidka dodavatele'!P25</f>
        <v>0</v>
      </c>
      <c r="Q35" s="9">
        <f>Q37+Q45+Q47+Q49+Q51+Q53+Q55+Q57+Q59+Q61+Q63</f>
        <v>0</v>
      </c>
    </row>
    <row r="36" spans="1:17" ht="13.5" hidden="1">
      <c r="A36" s="160"/>
      <c r="B36" s="18"/>
      <c r="C36" s="184" t="str">
        <f>$C$46</f>
        <v> jako % vstupní ceny</v>
      </c>
      <c r="D36" s="185" t="s">
        <v>67</v>
      </c>
      <c r="E36" s="214">
        <v>0</v>
      </c>
      <c r="F36" s="443">
        <v>0</v>
      </c>
      <c r="G36" s="444">
        <v>0</v>
      </c>
      <c r="H36" s="444">
        <v>0</v>
      </c>
      <c r="I36" s="444">
        <v>0</v>
      </c>
      <c r="J36" s="444">
        <v>0</v>
      </c>
      <c r="K36" s="444">
        <v>0</v>
      </c>
      <c r="L36" s="444">
        <v>0</v>
      </c>
      <c r="M36" s="444">
        <v>0</v>
      </c>
      <c r="N36" s="444">
        <v>0</v>
      </c>
      <c r="O36" s="444">
        <v>0</v>
      </c>
      <c r="P36" s="444">
        <v>0</v>
      </c>
      <c r="Q36" s="9"/>
    </row>
    <row r="37" spans="1:17" ht="14.25">
      <c r="A37" s="143" t="s">
        <v>308</v>
      </c>
      <c r="B37" s="18"/>
      <c r="C37" s="44" t="str">
        <f>'Spolecne vstupy'!B29</f>
        <v>Regulatorní odpisy stávajícího majetku - Stálé ceny</v>
      </c>
      <c r="D37" s="52" t="str">
        <f>$D$6</f>
        <v>tis. Kč</v>
      </c>
      <c r="E37" s="207">
        <v>0</v>
      </c>
      <c r="F37" s="443">
        <v>0</v>
      </c>
      <c r="G37" s="444">
        <f>G35</f>
        <v>0</v>
      </c>
      <c r="H37" s="444">
        <f aca="true" t="shared" si="7" ref="H37:P37">H35</f>
        <v>0</v>
      </c>
      <c r="I37" s="444">
        <f t="shared" si="7"/>
        <v>0</v>
      </c>
      <c r="J37" s="444">
        <f t="shared" si="7"/>
        <v>0</v>
      </c>
      <c r="K37" s="444">
        <f t="shared" si="7"/>
        <v>0</v>
      </c>
      <c r="L37" s="444">
        <f t="shared" si="7"/>
        <v>0</v>
      </c>
      <c r="M37" s="444">
        <f t="shared" si="7"/>
        <v>0</v>
      </c>
      <c r="N37" s="444">
        <f t="shared" si="7"/>
        <v>0</v>
      </c>
      <c r="O37" s="444">
        <f t="shared" si="7"/>
        <v>0</v>
      </c>
      <c r="P37" s="444">
        <f t="shared" si="7"/>
        <v>0</v>
      </c>
      <c r="Q37" s="9">
        <f>IF(Q38&gt;1,1,0)</f>
        <v>0</v>
      </c>
    </row>
    <row r="38" spans="1:17" ht="14.25">
      <c r="A38" s="160"/>
      <c r="B38" s="18"/>
      <c r="C38" s="186" t="str">
        <f>$C$46</f>
        <v> jako % vstupní ceny</v>
      </c>
      <c r="D38" s="187" t="s">
        <v>67</v>
      </c>
      <c r="E38" s="215">
        <f>IF($E$33=0,0,E37/$E$33)</f>
        <v>0</v>
      </c>
      <c r="F38" s="293">
        <f aca="true" t="shared" si="8" ref="F38:P38">IF($E$33=0,0,F37/$E$33)</f>
        <v>0</v>
      </c>
      <c r="G38" s="190">
        <f t="shared" si="8"/>
        <v>0</v>
      </c>
      <c r="H38" s="190">
        <f t="shared" si="8"/>
        <v>0</v>
      </c>
      <c r="I38" s="190">
        <f t="shared" si="8"/>
        <v>0</v>
      </c>
      <c r="J38" s="190">
        <f t="shared" si="8"/>
        <v>0</v>
      </c>
      <c r="K38" s="190">
        <f t="shared" si="8"/>
        <v>0</v>
      </c>
      <c r="L38" s="190">
        <f t="shared" si="8"/>
        <v>0</v>
      </c>
      <c r="M38" s="190">
        <f t="shared" si="8"/>
        <v>0</v>
      </c>
      <c r="N38" s="190">
        <f t="shared" si="8"/>
        <v>0</v>
      </c>
      <c r="O38" s="190">
        <f t="shared" si="8"/>
        <v>0</v>
      </c>
      <c r="P38" s="190">
        <f t="shared" si="8"/>
        <v>0</v>
      </c>
      <c r="Q38" s="230">
        <f>SUM(F38:P38)</f>
        <v>0</v>
      </c>
    </row>
    <row r="39" spans="1:17" ht="14.25">
      <c r="A39" s="18"/>
      <c r="B39" s="18"/>
      <c r="C39" s="129"/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9"/>
    </row>
    <row r="40" spans="1:17" ht="14.25">
      <c r="A40" s="143" t="s">
        <v>308</v>
      </c>
      <c r="B40" s="18"/>
      <c r="C40" s="15" t="str">
        <f>IF(CZ_EN=1,VLOOKUP("Investiční náklady",Slovnik,1,0),VLOOKUP("Investiční náklady",Slovnik,2,0))</f>
        <v>Investiční náklady</v>
      </c>
      <c r="D40" s="40" t="str">
        <f>$D$6</f>
        <v>tis. Kč</v>
      </c>
      <c r="E40" s="173"/>
      <c r="F40" s="448">
        <v>0</v>
      </c>
      <c r="G40" s="449">
        <f>'[2]Nabidka dodavatele'!G27</f>
        <v>0</v>
      </c>
      <c r="H40" s="449">
        <f>'[2]Nabidka dodavatele'!H27</f>
        <v>0</v>
      </c>
      <c r="I40" s="449">
        <f>'[2]Nabidka dodavatele'!I27</f>
        <v>0</v>
      </c>
      <c r="J40" s="449">
        <f>'[2]Nabidka dodavatele'!J27</f>
        <v>0</v>
      </c>
      <c r="K40" s="449">
        <f>'[2]Nabidka dodavatele'!K27</f>
        <v>0</v>
      </c>
      <c r="L40" s="449">
        <f>'[2]Nabidka dodavatele'!L27</f>
        <v>0</v>
      </c>
      <c r="M40" s="449">
        <f>'[2]Nabidka dodavatele'!M27</f>
        <v>0</v>
      </c>
      <c r="N40" s="449">
        <f>'[2]Nabidka dodavatele'!N27</f>
        <v>0</v>
      </c>
      <c r="O40" s="449">
        <f>'[2]Nabidka dodavatele'!O27</f>
        <v>0</v>
      </c>
      <c r="P40" s="449">
        <f>'[2]Nabidka dodavatele'!P27</f>
        <v>0</v>
      </c>
      <c r="Q40" s="9"/>
    </row>
    <row r="41" spans="1:17" ht="14.25">
      <c r="A41" s="18"/>
      <c r="B41" s="18"/>
      <c r="C41" s="18"/>
      <c r="D41" s="2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9"/>
    </row>
    <row r="42" spans="1:17" ht="14.25">
      <c r="A42" s="18"/>
      <c r="B42" s="18"/>
      <c r="C42" s="15" t="str">
        <f>IF(CZ_EN=1,VLOOKUP("Odpisy plánovaných investic",Slovnik,1,0),VLOOKUP("Odpisy plánovaných investic",Slovnik,2,0))</f>
        <v>Odpisy plánovaných investic</v>
      </c>
      <c r="D42" s="40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"/>
    </row>
    <row r="43" spans="1:17" ht="14.25">
      <c r="A43" s="143" t="s">
        <v>308</v>
      </c>
      <c r="B43" s="18"/>
      <c r="C43" s="44" t="str">
        <f>CONCATENATE(Slovnik!$G$9,"  ",'Vstupy V'!$F$2)</f>
        <v>uskutečněných v roce  2021</v>
      </c>
      <c r="D43" s="341" t="str">
        <f>$D$6</f>
        <v>tis. Kč</v>
      </c>
      <c r="E43" s="342"/>
      <c r="F43" s="445">
        <v>0</v>
      </c>
      <c r="G43" s="446">
        <v>0</v>
      </c>
      <c r="H43" s="446">
        <v>0</v>
      </c>
      <c r="I43" s="446">
        <v>0</v>
      </c>
      <c r="J43" s="446">
        <v>0</v>
      </c>
      <c r="K43" s="446">
        <v>0</v>
      </c>
      <c r="L43" s="446">
        <v>0</v>
      </c>
      <c r="M43" s="446">
        <v>0</v>
      </c>
      <c r="N43" s="446">
        <v>0</v>
      </c>
      <c r="O43" s="446">
        <v>0</v>
      </c>
      <c r="P43" s="446">
        <v>0</v>
      </c>
      <c r="Q43" s="9">
        <f>IF(Q44&gt;1,1,0)</f>
        <v>0</v>
      </c>
    </row>
    <row r="44" spans="1:17" ht="14.25">
      <c r="A44" s="18"/>
      <c r="B44" s="18"/>
      <c r="C44" s="327" t="str">
        <f>IF(CZ_EN=1,VLOOKUP(" jako % vstupní ceny",Slovnik,1,0),VLOOKUP(" jako % vstupní ceny",Slovnik,2,0))</f>
        <v> jako % vstupní ceny</v>
      </c>
      <c r="D44" s="349" t="s">
        <v>67</v>
      </c>
      <c r="E44" s="345"/>
      <c r="F44" s="346">
        <f>IF($F$40=0,0,F43/$F$40)</f>
        <v>0</v>
      </c>
      <c r="G44" s="331">
        <f>IF($F$40=0,0,G43/$F$40)</f>
        <v>0</v>
      </c>
      <c r="H44" s="331">
        <f aca="true" t="shared" si="9" ref="H44:P44">IF($F$40=0,0,H43/$F$40)</f>
        <v>0</v>
      </c>
      <c r="I44" s="331">
        <f t="shared" si="9"/>
        <v>0</v>
      </c>
      <c r="J44" s="331">
        <f t="shared" si="9"/>
        <v>0</v>
      </c>
      <c r="K44" s="331">
        <f t="shared" si="9"/>
        <v>0</v>
      </c>
      <c r="L44" s="331">
        <f t="shared" si="9"/>
        <v>0</v>
      </c>
      <c r="M44" s="331">
        <f t="shared" si="9"/>
        <v>0</v>
      </c>
      <c r="N44" s="331">
        <f t="shared" si="9"/>
        <v>0</v>
      </c>
      <c r="O44" s="331">
        <f t="shared" si="9"/>
        <v>0</v>
      </c>
      <c r="P44" s="331">
        <f t="shared" si="9"/>
        <v>0</v>
      </c>
      <c r="Q44" s="230">
        <f>SUM(F44:P44)</f>
        <v>0</v>
      </c>
    </row>
    <row r="45" spans="1:17" ht="14.25">
      <c r="A45" s="143" t="s">
        <v>308</v>
      </c>
      <c r="B45" s="18"/>
      <c r="C45" s="44" t="str">
        <f>CONCATENATE(Slovnik!$G$9,"  ",'Vstupy V'!$G$2)</f>
        <v>uskutečněných v roce  2022</v>
      </c>
      <c r="D45" s="52" t="str">
        <f>$D$6</f>
        <v>tis. Kč</v>
      </c>
      <c r="E45" s="53"/>
      <c r="F45" s="53"/>
      <c r="G45" s="176">
        <f>'[2]Nabidka dodavatele'!G29</f>
        <v>0</v>
      </c>
      <c r="H45" s="176">
        <f>'[2]Nabidka dodavatele'!H29</f>
        <v>0</v>
      </c>
      <c r="I45" s="176">
        <f>'[2]Nabidka dodavatele'!I29</f>
        <v>0</v>
      </c>
      <c r="J45" s="176">
        <f>'[2]Nabidka dodavatele'!J29</f>
        <v>0</v>
      </c>
      <c r="K45" s="176">
        <f>'[2]Nabidka dodavatele'!K29</f>
        <v>0</v>
      </c>
      <c r="L45" s="176">
        <f>'[2]Nabidka dodavatele'!L29</f>
        <v>0</v>
      </c>
      <c r="M45" s="176">
        <f>'[2]Nabidka dodavatele'!M29</f>
        <v>0</v>
      </c>
      <c r="N45" s="176">
        <f>'[2]Nabidka dodavatele'!N29</f>
        <v>0</v>
      </c>
      <c r="O45" s="176">
        <f>'[2]Nabidka dodavatele'!O29</f>
        <v>0</v>
      </c>
      <c r="P45" s="176">
        <f>'[2]Nabidka dodavatele'!P29</f>
        <v>0</v>
      </c>
      <c r="Q45" s="9">
        <f>IF(Q46&gt;1,1,0)</f>
        <v>0</v>
      </c>
    </row>
    <row r="46" spans="1:17" ht="14.25">
      <c r="A46" s="18"/>
      <c r="B46" s="18"/>
      <c r="C46" s="184" t="str">
        <f>IF(CZ_EN=1,VLOOKUP(" jako % vstupní ceny",Slovnik,1,0),VLOOKUP(" jako % vstupní ceny",Slovnik,2,0))</f>
        <v> jako % vstupní ceny</v>
      </c>
      <c r="D46" s="185" t="s">
        <v>67</v>
      </c>
      <c r="E46" s="53"/>
      <c r="F46" s="53"/>
      <c r="G46" s="188">
        <f aca="true" t="shared" si="10" ref="G46:P46">IF($G$40=0,0,G45/$G$40)</f>
        <v>0</v>
      </c>
      <c r="H46" s="188">
        <f t="shared" si="10"/>
        <v>0</v>
      </c>
      <c r="I46" s="188">
        <f t="shared" si="10"/>
        <v>0</v>
      </c>
      <c r="J46" s="188">
        <f t="shared" si="10"/>
        <v>0</v>
      </c>
      <c r="K46" s="188">
        <f t="shared" si="10"/>
        <v>0</v>
      </c>
      <c r="L46" s="188">
        <f t="shared" si="10"/>
        <v>0</v>
      </c>
      <c r="M46" s="188">
        <f t="shared" si="10"/>
        <v>0</v>
      </c>
      <c r="N46" s="188">
        <f t="shared" si="10"/>
        <v>0</v>
      </c>
      <c r="O46" s="188">
        <f t="shared" si="10"/>
        <v>0</v>
      </c>
      <c r="P46" s="188">
        <f t="shared" si="10"/>
        <v>0</v>
      </c>
      <c r="Q46" s="230">
        <f>SUM(F46:P46)</f>
        <v>0</v>
      </c>
    </row>
    <row r="47" spans="1:17" ht="14.25">
      <c r="A47" s="143" t="s">
        <v>308</v>
      </c>
      <c r="B47" s="18"/>
      <c r="C47" s="333" t="str">
        <f>CONCATENATE(Slovnik!$G$9,"  ",'Vstupy V'!$H$2)</f>
        <v>uskutečněných v roce  2023</v>
      </c>
      <c r="D47" s="339" t="str">
        <f>$D$6</f>
        <v>tis. Kč</v>
      </c>
      <c r="E47" s="336"/>
      <c r="F47" s="336"/>
      <c r="G47" s="337"/>
      <c r="H47" s="338">
        <f>'[2]Nabidka dodavatele'!H30</f>
        <v>0</v>
      </c>
      <c r="I47" s="338">
        <f>'[2]Nabidka dodavatele'!I30</f>
        <v>0</v>
      </c>
      <c r="J47" s="338">
        <f>'[2]Nabidka dodavatele'!J30</f>
        <v>0</v>
      </c>
      <c r="K47" s="338">
        <f>'[2]Nabidka dodavatele'!K30</f>
        <v>0</v>
      </c>
      <c r="L47" s="338">
        <f>'[2]Nabidka dodavatele'!L30</f>
        <v>0</v>
      </c>
      <c r="M47" s="338">
        <f>'[2]Nabidka dodavatele'!M30</f>
        <v>0</v>
      </c>
      <c r="N47" s="338">
        <f>'[2]Nabidka dodavatele'!N30</f>
        <v>0</v>
      </c>
      <c r="O47" s="338">
        <f>'[2]Nabidka dodavatele'!O30</f>
        <v>0</v>
      </c>
      <c r="P47" s="338">
        <f>'[2]Nabidka dodavatele'!P30</f>
        <v>0</v>
      </c>
      <c r="Q47" s="9">
        <f>IF(Q48&gt;1,1,0)</f>
        <v>0</v>
      </c>
    </row>
    <row r="48" spans="1:17" ht="14.25">
      <c r="A48" s="18"/>
      <c r="B48" s="18"/>
      <c r="C48" s="327" t="str">
        <f>$C$46</f>
        <v> jako % vstupní ceny</v>
      </c>
      <c r="D48" s="340" t="s">
        <v>67</v>
      </c>
      <c r="E48" s="330"/>
      <c r="F48" s="330"/>
      <c r="G48" s="332"/>
      <c r="H48" s="331">
        <f aca="true" t="shared" si="11" ref="H48:P48">IF($H$40=0,0,H47/$H$40)</f>
        <v>0</v>
      </c>
      <c r="I48" s="331">
        <f t="shared" si="11"/>
        <v>0</v>
      </c>
      <c r="J48" s="331">
        <f t="shared" si="11"/>
        <v>0</v>
      </c>
      <c r="K48" s="331">
        <f t="shared" si="11"/>
        <v>0</v>
      </c>
      <c r="L48" s="331">
        <f t="shared" si="11"/>
        <v>0</v>
      </c>
      <c r="M48" s="331">
        <f t="shared" si="11"/>
        <v>0</v>
      </c>
      <c r="N48" s="331">
        <f t="shared" si="11"/>
        <v>0</v>
      </c>
      <c r="O48" s="331">
        <f t="shared" si="11"/>
        <v>0</v>
      </c>
      <c r="P48" s="331">
        <f t="shared" si="11"/>
        <v>0</v>
      </c>
      <c r="Q48" s="230">
        <f>SUM(F48:P48)</f>
        <v>0</v>
      </c>
    </row>
    <row r="49" spans="1:17" ht="14.25">
      <c r="A49" s="143" t="s">
        <v>308</v>
      </c>
      <c r="B49" s="18"/>
      <c r="C49" s="44" t="str">
        <f>CONCATENATE(Slovnik!$G$9,"  ",'Vstupy V'!$I$2)</f>
        <v>uskutečněných v roce  2024</v>
      </c>
      <c r="D49" s="52" t="str">
        <f>$D$6</f>
        <v>tis. Kč</v>
      </c>
      <c r="E49" s="53"/>
      <c r="F49" s="53"/>
      <c r="G49" s="30"/>
      <c r="H49" s="30"/>
      <c r="I49" s="176">
        <f>'[2]Nabidka dodavatele'!I31</f>
        <v>0</v>
      </c>
      <c r="J49" s="176">
        <f>'[2]Nabidka dodavatele'!J31</f>
        <v>0</v>
      </c>
      <c r="K49" s="176">
        <f>'[2]Nabidka dodavatele'!K31</f>
        <v>0</v>
      </c>
      <c r="L49" s="176">
        <f>'[2]Nabidka dodavatele'!L31</f>
        <v>0</v>
      </c>
      <c r="M49" s="176">
        <f>'[2]Nabidka dodavatele'!M31</f>
        <v>0</v>
      </c>
      <c r="N49" s="176">
        <f>'[2]Nabidka dodavatele'!N31</f>
        <v>0</v>
      </c>
      <c r="O49" s="176">
        <f>'[2]Nabidka dodavatele'!O31</f>
        <v>0</v>
      </c>
      <c r="P49" s="176">
        <f>'[2]Nabidka dodavatele'!P31</f>
        <v>0</v>
      </c>
      <c r="Q49" s="9">
        <f>IF(Q50&gt;1,1,0)</f>
        <v>0</v>
      </c>
    </row>
    <row r="50" spans="1:17" ht="14.25">
      <c r="A50" s="18"/>
      <c r="B50" s="18"/>
      <c r="C50" s="184" t="str">
        <f>$C$46</f>
        <v> jako % vstupní ceny</v>
      </c>
      <c r="D50" s="185" t="s">
        <v>67</v>
      </c>
      <c r="E50" s="53"/>
      <c r="F50" s="53"/>
      <c r="G50" s="30"/>
      <c r="H50" s="30"/>
      <c r="I50" s="188">
        <f aca="true" t="shared" si="12" ref="I50:P50">IF($I$40=0,0,I49/$I$40)</f>
        <v>0</v>
      </c>
      <c r="J50" s="188">
        <f t="shared" si="12"/>
        <v>0</v>
      </c>
      <c r="K50" s="188">
        <f t="shared" si="12"/>
        <v>0</v>
      </c>
      <c r="L50" s="188">
        <f t="shared" si="12"/>
        <v>0</v>
      </c>
      <c r="M50" s="188">
        <f t="shared" si="12"/>
        <v>0</v>
      </c>
      <c r="N50" s="188">
        <f t="shared" si="12"/>
        <v>0</v>
      </c>
      <c r="O50" s="188">
        <f t="shared" si="12"/>
        <v>0</v>
      </c>
      <c r="P50" s="188">
        <f t="shared" si="12"/>
        <v>0</v>
      </c>
      <c r="Q50" s="230">
        <f>SUM(F50:P50)</f>
        <v>0</v>
      </c>
    </row>
    <row r="51" spans="1:17" ht="14.25">
      <c r="A51" s="143" t="s">
        <v>308</v>
      </c>
      <c r="B51" s="18"/>
      <c r="C51" s="333" t="str">
        <f>CONCATENATE(Slovnik!$G$9,"  ",'Vstupy V'!$J$2)</f>
        <v>uskutečněných v roce  2025</v>
      </c>
      <c r="D51" s="339" t="str">
        <f>$D$6</f>
        <v>tis. Kč</v>
      </c>
      <c r="E51" s="336"/>
      <c r="F51" s="336"/>
      <c r="G51" s="337"/>
      <c r="H51" s="337"/>
      <c r="I51" s="337"/>
      <c r="J51" s="338">
        <f>'[2]Nabidka dodavatele'!J32</f>
        <v>0</v>
      </c>
      <c r="K51" s="338">
        <f>'[2]Nabidka dodavatele'!K32</f>
        <v>0</v>
      </c>
      <c r="L51" s="338">
        <f>'[2]Nabidka dodavatele'!L32</f>
        <v>0</v>
      </c>
      <c r="M51" s="338">
        <f>'[2]Nabidka dodavatele'!M32</f>
        <v>0</v>
      </c>
      <c r="N51" s="338">
        <f>'[2]Nabidka dodavatele'!N32</f>
        <v>0</v>
      </c>
      <c r="O51" s="338">
        <f>'[2]Nabidka dodavatele'!O32</f>
        <v>0</v>
      </c>
      <c r="P51" s="338">
        <f>'[2]Nabidka dodavatele'!P32</f>
        <v>0</v>
      </c>
      <c r="Q51" s="9">
        <f>IF(Q52&gt;1,1,0)</f>
        <v>0</v>
      </c>
    </row>
    <row r="52" spans="1:17" ht="14.25">
      <c r="A52" s="18"/>
      <c r="B52" s="18"/>
      <c r="C52" s="327" t="str">
        <f>$C$46</f>
        <v> jako % vstupní ceny</v>
      </c>
      <c r="D52" s="340" t="s">
        <v>67</v>
      </c>
      <c r="E52" s="330"/>
      <c r="F52" s="330"/>
      <c r="G52" s="332"/>
      <c r="H52" s="332"/>
      <c r="I52" s="332"/>
      <c r="J52" s="331">
        <f aca="true" t="shared" si="13" ref="J52:P52">IF($J$40=0,0,J51/$J$40)</f>
        <v>0</v>
      </c>
      <c r="K52" s="331">
        <f t="shared" si="13"/>
        <v>0</v>
      </c>
      <c r="L52" s="331">
        <f t="shared" si="13"/>
        <v>0</v>
      </c>
      <c r="M52" s="331">
        <f t="shared" si="13"/>
        <v>0</v>
      </c>
      <c r="N52" s="331">
        <f t="shared" si="13"/>
        <v>0</v>
      </c>
      <c r="O52" s="331">
        <f t="shared" si="13"/>
        <v>0</v>
      </c>
      <c r="P52" s="331">
        <f t="shared" si="13"/>
        <v>0</v>
      </c>
      <c r="Q52" s="230">
        <f>SUM(F52:P52)</f>
        <v>0</v>
      </c>
    </row>
    <row r="53" spans="1:17" ht="14.25">
      <c r="A53" s="143" t="s">
        <v>308</v>
      </c>
      <c r="B53" s="18"/>
      <c r="C53" s="44" t="str">
        <f>CONCATENATE(Slovnik!$G$9,"  ",'Vstupy V'!$K$2)</f>
        <v>uskutečněných v roce  2026</v>
      </c>
      <c r="D53" s="52" t="str">
        <f>$D$6</f>
        <v>tis. Kč</v>
      </c>
      <c r="E53" s="53"/>
      <c r="F53" s="53"/>
      <c r="G53" s="30"/>
      <c r="H53" s="30"/>
      <c r="I53" s="30"/>
      <c r="J53" s="30"/>
      <c r="K53" s="176">
        <f>'[2]Nabidka dodavatele'!K33</f>
        <v>0</v>
      </c>
      <c r="L53" s="176">
        <f>'[2]Nabidka dodavatele'!L33</f>
        <v>0</v>
      </c>
      <c r="M53" s="176">
        <f>'[2]Nabidka dodavatele'!M33</f>
        <v>0</v>
      </c>
      <c r="N53" s="176">
        <f>'[2]Nabidka dodavatele'!N33</f>
        <v>0</v>
      </c>
      <c r="O53" s="176">
        <f>'[2]Nabidka dodavatele'!O33</f>
        <v>0</v>
      </c>
      <c r="P53" s="176">
        <f>'[2]Nabidka dodavatele'!P33</f>
        <v>0</v>
      </c>
      <c r="Q53" s="9">
        <f>IF(Q54&gt;1,1,0)</f>
        <v>0</v>
      </c>
    </row>
    <row r="54" spans="1:17" ht="14.25">
      <c r="A54" s="18"/>
      <c r="B54" s="18"/>
      <c r="C54" s="184" t="str">
        <f>$C$46</f>
        <v> jako % vstupní ceny</v>
      </c>
      <c r="D54" s="185" t="s">
        <v>67</v>
      </c>
      <c r="E54" s="53"/>
      <c r="F54" s="53"/>
      <c r="G54" s="30"/>
      <c r="H54" s="30"/>
      <c r="I54" s="30"/>
      <c r="J54" s="30"/>
      <c r="K54" s="188">
        <f aca="true" t="shared" si="14" ref="K54:P54">IF($K$40=0,0,K53/$K$40)</f>
        <v>0</v>
      </c>
      <c r="L54" s="188">
        <f t="shared" si="14"/>
        <v>0</v>
      </c>
      <c r="M54" s="188">
        <f t="shared" si="14"/>
        <v>0</v>
      </c>
      <c r="N54" s="188">
        <f t="shared" si="14"/>
        <v>0</v>
      </c>
      <c r="O54" s="188">
        <f t="shared" si="14"/>
        <v>0</v>
      </c>
      <c r="P54" s="188">
        <f t="shared" si="14"/>
        <v>0</v>
      </c>
      <c r="Q54" s="230">
        <f>SUM(F54:P54)</f>
        <v>0</v>
      </c>
    </row>
    <row r="55" spans="1:17" ht="14.25">
      <c r="A55" s="143" t="s">
        <v>308</v>
      </c>
      <c r="B55" s="18"/>
      <c r="C55" s="333" t="str">
        <f>CONCATENATE(Slovnik!$G$9,"  ",'Vstupy V'!$L$2)</f>
        <v>uskutečněných v roce  2027</v>
      </c>
      <c r="D55" s="339" t="str">
        <f>$D$6</f>
        <v>tis. Kč</v>
      </c>
      <c r="E55" s="336"/>
      <c r="F55" s="336"/>
      <c r="G55" s="337"/>
      <c r="H55" s="337"/>
      <c r="I55" s="337"/>
      <c r="J55" s="337"/>
      <c r="K55" s="337"/>
      <c r="L55" s="338">
        <f>'[2]Nabidka dodavatele'!L34</f>
        <v>0</v>
      </c>
      <c r="M55" s="338">
        <f>'[2]Nabidka dodavatele'!M34</f>
        <v>0</v>
      </c>
      <c r="N55" s="338">
        <f>'[2]Nabidka dodavatele'!N34</f>
        <v>0</v>
      </c>
      <c r="O55" s="338">
        <f>'[2]Nabidka dodavatele'!O34</f>
        <v>0</v>
      </c>
      <c r="P55" s="338">
        <f>'[2]Nabidka dodavatele'!P34</f>
        <v>0</v>
      </c>
      <c r="Q55" s="9">
        <f>IF(Q56&gt;1,1,0)</f>
        <v>0</v>
      </c>
    </row>
    <row r="56" spans="1:17" ht="14.25">
      <c r="A56" s="18"/>
      <c r="B56" s="18"/>
      <c r="C56" s="327" t="str">
        <f>$C$46</f>
        <v> jako % vstupní ceny</v>
      </c>
      <c r="D56" s="340" t="s">
        <v>67</v>
      </c>
      <c r="E56" s="330"/>
      <c r="F56" s="330"/>
      <c r="G56" s="332"/>
      <c r="H56" s="332"/>
      <c r="I56" s="332"/>
      <c r="J56" s="332"/>
      <c r="K56" s="332"/>
      <c r="L56" s="331">
        <f>IF($L$40=0,0,L55/$L$40)</f>
        <v>0</v>
      </c>
      <c r="M56" s="331">
        <f>IF($L$40=0,0,M55/$L$40)</f>
        <v>0</v>
      </c>
      <c r="N56" s="331">
        <f>IF($L$40=0,0,N55/$L$40)</f>
        <v>0</v>
      </c>
      <c r="O56" s="331">
        <f>IF($L$40=0,0,O55/$L$40)</f>
        <v>0</v>
      </c>
      <c r="P56" s="331">
        <f>IF($L$40=0,0,P55/$L$40)</f>
        <v>0</v>
      </c>
      <c r="Q56" s="230">
        <f>SUM(F56:P56)</f>
        <v>0</v>
      </c>
    </row>
    <row r="57" spans="1:17" ht="14.25">
      <c r="A57" s="143" t="s">
        <v>308</v>
      </c>
      <c r="B57" s="18"/>
      <c r="C57" s="44" t="str">
        <f>CONCATENATE(Slovnik!$G$9,"  ",'Vstupy V'!$M$2)</f>
        <v>uskutečněných v roce  2028</v>
      </c>
      <c r="D57" s="52" t="str">
        <f>$D$6</f>
        <v>tis. Kč</v>
      </c>
      <c r="E57" s="53"/>
      <c r="F57" s="53"/>
      <c r="G57" s="30"/>
      <c r="H57" s="30"/>
      <c r="I57" s="30"/>
      <c r="J57" s="30"/>
      <c r="K57" s="30"/>
      <c r="L57" s="30"/>
      <c r="M57" s="176">
        <f>'[2]Nabidka dodavatele'!M35</f>
        <v>0</v>
      </c>
      <c r="N57" s="176">
        <f>'[2]Nabidka dodavatele'!N35</f>
        <v>0</v>
      </c>
      <c r="O57" s="176">
        <f>'[2]Nabidka dodavatele'!O35</f>
        <v>0</v>
      </c>
      <c r="P57" s="176">
        <f>'[2]Nabidka dodavatele'!P35</f>
        <v>0</v>
      </c>
      <c r="Q57" s="9">
        <f>IF(Q58&gt;1,1,0)</f>
        <v>0</v>
      </c>
    </row>
    <row r="58" spans="1:17" ht="14.25">
      <c r="A58" s="18"/>
      <c r="B58" s="18"/>
      <c r="C58" s="184" t="str">
        <f>$C$46</f>
        <v> jako % vstupní ceny</v>
      </c>
      <c r="D58" s="185" t="s">
        <v>67</v>
      </c>
      <c r="E58" s="53"/>
      <c r="F58" s="53"/>
      <c r="G58" s="30"/>
      <c r="H58" s="30"/>
      <c r="I58" s="30"/>
      <c r="J58" s="30"/>
      <c r="K58" s="30"/>
      <c r="L58" s="30"/>
      <c r="M58" s="188">
        <f>IF($M$40=0,0,M57/$M$40)</f>
        <v>0</v>
      </c>
      <c r="N58" s="188">
        <f>IF($M$40=0,0,N57/$M$40)</f>
        <v>0</v>
      </c>
      <c r="O58" s="188">
        <f>IF($M$40=0,0,O57/$M$40)</f>
        <v>0</v>
      </c>
      <c r="P58" s="188">
        <f>IF($M$40=0,0,P57/$M$40)</f>
        <v>0</v>
      </c>
      <c r="Q58" s="230">
        <f>SUM(F58:P58)</f>
        <v>0</v>
      </c>
    </row>
    <row r="59" spans="1:17" ht="14.25">
      <c r="A59" s="143" t="s">
        <v>308</v>
      </c>
      <c r="B59" s="18"/>
      <c r="C59" s="333" t="str">
        <f>CONCATENATE(Slovnik!$G$9,"  ",'Vstupy V'!$N$2)</f>
        <v>uskutečněných v roce  2029</v>
      </c>
      <c r="D59" s="339" t="str">
        <f>$D$6</f>
        <v>tis. Kč</v>
      </c>
      <c r="E59" s="336"/>
      <c r="F59" s="336"/>
      <c r="G59" s="337"/>
      <c r="H59" s="337"/>
      <c r="I59" s="337"/>
      <c r="J59" s="337"/>
      <c r="K59" s="337"/>
      <c r="L59" s="337"/>
      <c r="M59" s="337"/>
      <c r="N59" s="338">
        <f>'[2]Nabidka dodavatele'!N36</f>
        <v>0</v>
      </c>
      <c r="O59" s="338">
        <f>'[2]Nabidka dodavatele'!O36</f>
        <v>0</v>
      </c>
      <c r="P59" s="338">
        <f>'[2]Nabidka dodavatele'!P36</f>
        <v>0</v>
      </c>
      <c r="Q59" s="9">
        <f>IF(Q60&gt;1,1,0)</f>
        <v>0</v>
      </c>
    </row>
    <row r="60" spans="1:17" ht="14.25">
      <c r="A60" s="18"/>
      <c r="B60" s="18"/>
      <c r="C60" s="327" t="str">
        <f>$C$46</f>
        <v> jako % vstupní ceny</v>
      </c>
      <c r="D60" s="340" t="s">
        <v>67</v>
      </c>
      <c r="E60" s="330"/>
      <c r="F60" s="330"/>
      <c r="G60" s="332"/>
      <c r="H60" s="332"/>
      <c r="I60" s="332"/>
      <c r="J60" s="332"/>
      <c r="K60" s="332"/>
      <c r="L60" s="332"/>
      <c r="M60" s="332"/>
      <c r="N60" s="331">
        <f>IF($N$40=0,0,N59/$N$40)</f>
        <v>0</v>
      </c>
      <c r="O60" s="331">
        <f>IF($N$40=0,0,O59/$N$40)</f>
        <v>0</v>
      </c>
      <c r="P60" s="331">
        <f>IF($N$40=0,0,P59/$N$40)</f>
        <v>0</v>
      </c>
      <c r="Q60" s="230">
        <f>SUM(F60:P60)</f>
        <v>0</v>
      </c>
    </row>
    <row r="61" spans="1:17" ht="14.25">
      <c r="A61" s="143" t="s">
        <v>308</v>
      </c>
      <c r="B61" s="18"/>
      <c r="C61" s="333" t="str">
        <f>CONCATENATE(Slovnik!$G$9,"  ",'Vstupy V'!$O$2)</f>
        <v>uskutečněných v roce  2030</v>
      </c>
      <c r="D61" s="339" t="str">
        <f>$D$6</f>
        <v>tis. Kč</v>
      </c>
      <c r="E61" s="336"/>
      <c r="F61" s="336"/>
      <c r="G61" s="337"/>
      <c r="H61" s="337"/>
      <c r="I61" s="337"/>
      <c r="J61" s="337"/>
      <c r="K61" s="337"/>
      <c r="L61" s="337"/>
      <c r="M61" s="337"/>
      <c r="N61" s="337"/>
      <c r="O61" s="338">
        <f>'[2]Nabidka dodavatele'!O37</f>
        <v>0</v>
      </c>
      <c r="P61" s="338">
        <f>'[2]Nabidka dodavatele'!P37</f>
        <v>0</v>
      </c>
      <c r="Q61" s="9">
        <f>IF(Q62&gt;1,1,0)</f>
        <v>0</v>
      </c>
    </row>
    <row r="62" spans="1:17" ht="14.25">
      <c r="A62" s="18"/>
      <c r="B62" s="18"/>
      <c r="C62" s="327" t="str">
        <f>$C$46</f>
        <v> jako % vstupní ceny</v>
      </c>
      <c r="D62" s="340" t="s">
        <v>67</v>
      </c>
      <c r="E62" s="330"/>
      <c r="F62" s="330"/>
      <c r="G62" s="332"/>
      <c r="H62" s="332"/>
      <c r="I62" s="332"/>
      <c r="J62" s="332"/>
      <c r="K62" s="332"/>
      <c r="L62" s="332"/>
      <c r="M62" s="332"/>
      <c r="N62" s="332"/>
      <c r="O62" s="331">
        <f>IF($O$40=0,0,O61/$O$40)</f>
        <v>0</v>
      </c>
      <c r="P62" s="331">
        <f>IF($O$40=0,0,P61/$O$40)</f>
        <v>0</v>
      </c>
      <c r="Q62" s="230">
        <f>SUM(F62:P62)</f>
        <v>0</v>
      </c>
    </row>
    <row r="63" spans="1:17" ht="14.25">
      <c r="A63" s="143" t="s">
        <v>308</v>
      </c>
      <c r="B63" s="18"/>
      <c r="C63" s="44" t="str">
        <f>CONCATENATE(Slovnik!$G$9,"  ",'Vstupy V'!$P$2)</f>
        <v>uskutečněných v roce  2031</v>
      </c>
      <c r="D63" s="52" t="str">
        <f>$D$6</f>
        <v>tis. Kč</v>
      </c>
      <c r="E63" s="53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176">
        <f>'[2]Nabidka dodavatele'!P38</f>
        <v>0</v>
      </c>
      <c r="Q63" s="9">
        <f>IF(Q64&gt;1,1,0)</f>
        <v>0</v>
      </c>
    </row>
    <row r="64" spans="1:17" ht="14.25">
      <c r="A64" s="18"/>
      <c r="B64" s="18"/>
      <c r="C64" s="186" t="str">
        <f>$C$46</f>
        <v> jako % vstupní ceny</v>
      </c>
      <c r="D64" s="187" t="s">
        <v>67</v>
      </c>
      <c r="E64" s="54"/>
      <c r="F64" s="54"/>
      <c r="G64" s="50"/>
      <c r="H64" s="50"/>
      <c r="I64" s="50"/>
      <c r="J64" s="50"/>
      <c r="K64" s="50"/>
      <c r="L64" s="50"/>
      <c r="M64" s="50"/>
      <c r="N64" s="50"/>
      <c r="O64" s="50"/>
      <c r="P64" s="188">
        <f>IF($P$40=0,0,P63/$P$40)</f>
        <v>0</v>
      </c>
      <c r="Q64" s="230">
        <f>SUM(F64:P64)</f>
        <v>0</v>
      </c>
    </row>
    <row r="65" spans="1:16" ht="14.25">
      <c r="A65" s="18"/>
      <c r="B65" s="18"/>
      <c r="C65" s="45" t="str">
        <f>IF(CZ_EN=1,VLOOKUP("Odpisy celkem",Slovnik,1,0),VLOOKUP("Odpisy celkem",Slovnik,2,0))</f>
        <v>Odpisy celkem</v>
      </c>
      <c r="D65" s="49" t="str">
        <f>$D$6</f>
        <v>tis. Kč</v>
      </c>
      <c r="E65" s="54"/>
      <c r="F65" s="50">
        <f>SUM(F43,F45,F47,F49,F51,F53,F55,F57,F59,F61,F63)</f>
        <v>0</v>
      </c>
      <c r="G65" s="50">
        <f aca="true" t="shared" si="15" ref="G65:P65">SUM(G43,G45,G47,G49,G51,G53,G55,G57,G59,G61,G63)</f>
        <v>0</v>
      </c>
      <c r="H65" s="50">
        <f t="shared" si="15"/>
        <v>0</v>
      </c>
      <c r="I65" s="50">
        <f t="shared" si="15"/>
        <v>0</v>
      </c>
      <c r="J65" s="50">
        <f t="shared" si="15"/>
        <v>0</v>
      </c>
      <c r="K65" s="50">
        <f t="shared" si="15"/>
        <v>0</v>
      </c>
      <c r="L65" s="50">
        <f t="shared" si="15"/>
        <v>0</v>
      </c>
      <c r="M65" s="50">
        <f t="shared" si="15"/>
        <v>0</v>
      </c>
      <c r="N65" s="50">
        <f t="shared" si="15"/>
        <v>0</v>
      </c>
      <c r="O65" s="50">
        <f t="shared" si="15"/>
        <v>0</v>
      </c>
      <c r="P65" s="173">
        <f t="shared" si="15"/>
        <v>0</v>
      </c>
    </row>
    <row r="66" spans="1:16" ht="14.25">
      <c r="A66" s="18"/>
      <c r="B66" s="18"/>
      <c r="C66" s="18"/>
      <c r="D66" s="2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4.25">
      <c r="A67" s="143" t="s">
        <v>308</v>
      </c>
      <c r="B67" s="18"/>
      <c r="C67" s="15" t="str">
        <f>IF(CZ_EN=1,VLOOKUP("Odprodej majetku",Slovnik,1,0),VLOOKUP("Odprodej majetku",Slovnik,2,0))</f>
        <v>Odprodej majetku</v>
      </c>
      <c r="D67" s="40" t="str">
        <f>$D$6</f>
        <v>tis. Kč</v>
      </c>
      <c r="E67" s="354"/>
      <c r="F67" s="448">
        <v>0</v>
      </c>
      <c r="G67" s="449">
        <v>0</v>
      </c>
      <c r="H67" s="449">
        <v>0</v>
      </c>
      <c r="I67" s="449">
        <v>0</v>
      </c>
      <c r="J67" s="449">
        <v>0</v>
      </c>
      <c r="K67" s="449">
        <v>0</v>
      </c>
      <c r="L67" s="449">
        <v>0</v>
      </c>
      <c r="M67" s="449">
        <v>0</v>
      </c>
      <c r="N67" s="449">
        <v>0</v>
      </c>
      <c r="O67" s="449">
        <v>0</v>
      </c>
      <c r="P67" s="449">
        <v>0</v>
      </c>
    </row>
    <row r="68" spans="1:17" ht="12.75">
      <c r="A68" s="18"/>
      <c r="B68" s="18"/>
      <c r="C68" s="18"/>
      <c r="E68" s="227" t="s">
        <v>404</v>
      </c>
      <c r="F68" s="228">
        <f>'Vypocty V'!F13-'Vypocty V'!F14+'Vypocty V'!F16-'Vypocty V'!F17</f>
        <v>0</v>
      </c>
      <c r="G68" s="228">
        <f>'Vypocty V'!G13-'Vypocty V'!G14+'Vypocty V'!G16-'Vypocty V'!G17</f>
        <v>0</v>
      </c>
      <c r="H68" s="228">
        <f>'Vypocty V'!H13-'Vypocty V'!H14+'Vypocty V'!H16-'Vypocty V'!H17</f>
        <v>0</v>
      </c>
      <c r="I68" s="228">
        <f>'Vypocty V'!I13-'Vypocty V'!I14+'Vypocty V'!I16-'Vypocty V'!I17</f>
        <v>0</v>
      </c>
      <c r="J68" s="228">
        <f>'Vypocty V'!J13-'Vypocty V'!J14+'Vypocty V'!J16-'Vypocty V'!J17</f>
        <v>0</v>
      </c>
      <c r="K68" s="228">
        <f>'Vypocty V'!K13-'Vypocty V'!K14+'Vypocty V'!K16-'Vypocty V'!K17</f>
        <v>0</v>
      </c>
      <c r="L68" s="228">
        <f>'Vypocty V'!L13-'Vypocty V'!L14+'Vypocty V'!L16-'Vypocty V'!L17</f>
        <v>0</v>
      </c>
      <c r="M68" s="228">
        <f>'Vypocty V'!M13-'Vypocty V'!M14+'Vypocty V'!M16-'Vypocty V'!M17</f>
        <v>0</v>
      </c>
      <c r="N68" s="228">
        <f>'Vypocty V'!N13-'Vypocty V'!N14+'Vypocty V'!N16-'Vypocty V'!N17</f>
        <v>0</v>
      </c>
      <c r="O68" s="228">
        <f>'Vypocty V'!O13-'Vypocty V'!O14+'Vypocty V'!O16-'Vypocty V'!O17</f>
        <v>0</v>
      </c>
      <c r="P68" s="228">
        <f>'Vypocty V'!P13-'Vypocty V'!P14+'Vypocty V'!P16-'Vypocty V'!P17</f>
        <v>0</v>
      </c>
      <c r="Q68" s="228"/>
    </row>
    <row r="69" spans="1:17" ht="14.25">
      <c r="A69" s="18"/>
      <c r="B69" s="18"/>
      <c r="C69" s="37" t="str">
        <f>IF(CZ_EN=1,VLOOKUP("Zbývající prvky ReHoK",Slovnik,1,0),VLOOKUP("Zbývající prvky ReHoK",Slovnik,2,0))</f>
        <v>Zbývající prvky ReHoK</v>
      </c>
      <c r="D69" s="25"/>
      <c r="E69" s="227">
        <f>SUM(F69:P69)</f>
        <v>0</v>
      </c>
      <c r="F69" s="229">
        <f>IF(F67&gt;F68,1,0)</f>
        <v>0</v>
      </c>
      <c r="G69" s="229">
        <f aca="true" t="shared" si="16" ref="G69:P69">IF(G67&gt;G68,1,0)</f>
        <v>0</v>
      </c>
      <c r="H69" s="229">
        <f t="shared" si="16"/>
        <v>0</v>
      </c>
      <c r="I69" s="229">
        <f t="shared" si="16"/>
        <v>0</v>
      </c>
      <c r="J69" s="229">
        <f t="shared" si="16"/>
        <v>0</v>
      </c>
      <c r="K69" s="229">
        <f t="shared" si="16"/>
        <v>0</v>
      </c>
      <c r="L69" s="229">
        <f t="shared" si="16"/>
        <v>0</v>
      </c>
      <c r="M69" s="229">
        <f t="shared" si="16"/>
        <v>0</v>
      </c>
      <c r="N69" s="229">
        <f t="shared" si="16"/>
        <v>0</v>
      </c>
      <c r="O69" s="229">
        <f t="shared" si="16"/>
        <v>0</v>
      </c>
      <c r="P69" s="229">
        <f t="shared" si="16"/>
        <v>0</v>
      </c>
      <c r="Q69" s="229"/>
    </row>
    <row r="70" spans="1:16" ht="14.25">
      <c r="A70" s="143" t="s">
        <v>308</v>
      </c>
      <c r="B70" s="18"/>
      <c r="C70" s="15" t="str">
        <f>IF(CZ_EN=1,VLOOKUP("Přidělení provozního majetku na danou službu",Slovnik,1,0),VLOOKUP("Přidělení provozního majetku na danou službu",Slovnik,2,0))</f>
        <v>Přidělení provozního majetku na danou službu</v>
      </c>
      <c r="D70" s="40" t="s">
        <v>67</v>
      </c>
      <c r="E70" s="350">
        <v>0</v>
      </c>
      <c r="F70" s="450">
        <v>0</v>
      </c>
      <c r="G70" s="451">
        <v>0</v>
      </c>
      <c r="H70" s="451">
        <v>0</v>
      </c>
      <c r="I70" s="451">
        <v>0</v>
      </c>
      <c r="J70" s="451">
        <v>0</v>
      </c>
      <c r="K70" s="451">
        <v>0</v>
      </c>
      <c r="L70" s="451">
        <v>0</v>
      </c>
      <c r="M70" s="451">
        <v>0</v>
      </c>
      <c r="N70" s="451">
        <v>0</v>
      </c>
      <c r="O70" s="451">
        <v>0</v>
      </c>
      <c r="P70" s="451">
        <v>0</v>
      </c>
    </row>
    <row r="71" spans="1:16" ht="14.25">
      <c r="A71" s="18"/>
      <c r="B71" s="18"/>
      <c r="C71" s="18"/>
      <c r="D71" s="2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4.25">
      <c r="A72" s="143" t="s">
        <v>308</v>
      </c>
      <c r="B72" s="18"/>
      <c r="C72" s="15" t="str">
        <f>IF(CZ_EN=1,VLOOKUP("Zásoby",Slovnik,1,0),VLOOKUP("Zásoby",Slovnik,2,0))</f>
        <v>Zásoby</v>
      </c>
      <c r="D72" s="40" t="str">
        <f>$D$6</f>
        <v>tis. Kč</v>
      </c>
      <c r="E72" s="210">
        <v>0</v>
      </c>
      <c r="F72" s="448">
        <v>0</v>
      </c>
      <c r="G72" s="449">
        <f>'[2]Nabidka dodavatele'!G64</f>
        <v>0</v>
      </c>
      <c r="H72" s="449">
        <f>'[2]Nabidka dodavatele'!H64</f>
        <v>0</v>
      </c>
      <c r="I72" s="449">
        <f>'[2]Nabidka dodavatele'!I64</f>
        <v>0</v>
      </c>
      <c r="J72" s="449">
        <f>'[2]Nabidka dodavatele'!J64</f>
        <v>0</v>
      </c>
      <c r="K72" s="449">
        <f>'[2]Nabidka dodavatele'!K64</f>
        <v>0</v>
      </c>
      <c r="L72" s="449">
        <f>'[2]Nabidka dodavatele'!L64</f>
        <v>0</v>
      </c>
      <c r="M72" s="449">
        <f>'[2]Nabidka dodavatele'!M64</f>
        <v>0</v>
      </c>
      <c r="N72" s="449">
        <f>'[2]Nabidka dodavatele'!N64</f>
        <v>0</v>
      </c>
      <c r="O72" s="449">
        <f>'[2]Nabidka dodavatele'!O64</f>
        <v>0</v>
      </c>
      <c r="P72" s="449">
        <f>'[2]Nabidka dodavatele'!P64</f>
        <v>0</v>
      </c>
    </row>
    <row r="73" spans="1:16" ht="14.25">
      <c r="A73" s="18"/>
      <c r="B73" s="18"/>
      <c r="C73" s="18"/>
      <c r="D73" s="2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4.25">
      <c r="A74" s="143" t="s">
        <v>308</v>
      </c>
      <c r="B74" s="18"/>
      <c r="C74" s="15" t="str">
        <f>IF(CZ_EN=1,VLOOKUP("Zbývající předplacené nájemné",Slovnik,1,0),VLOOKUP("Zbývající předplacené nájemné",Slovnik,2,0))</f>
        <v>Zbývající předplacené nájemné</v>
      </c>
      <c r="D74" s="40" t="str">
        <f>$D$6</f>
        <v>tis. Kč</v>
      </c>
      <c r="E74" s="210">
        <v>0</v>
      </c>
      <c r="F74" s="448">
        <v>0</v>
      </c>
      <c r="G74" s="449">
        <v>0</v>
      </c>
      <c r="H74" s="449">
        <v>0</v>
      </c>
      <c r="I74" s="449">
        <v>0</v>
      </c>
      <c r="J74" s="449">
        <v>0</v>
      </c>
      <c r="K74" s="449">
        <v>0</v>
      </c>
      <c r="L74" s="449">
        <v>0</v>
      </c>
      <c r="M74" s="449">
        <v>0</v>
      </c>
      <c r="N74" s="449">
        <v>0</v>
      </c>
      <c r="O74" s="449">
        <v>0</v>
      </c>
      <c r="P74" s="449">
        <v>0</v>
      </c>
    </row>
    <row r="75" spans="1:16" ht="14.25">
      <c r="A75" s="18"/>
      <c r="B75" s="18"/>
      <c r="C75" s="18"/>
      <c r="D75" s="2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5" ht="14.25">
      <c r="A76" s="143" t="s">
        <v>308</v>
      </c>
      <c r="B76" s="18"/>
      <c r="C76" s="15" t="str">
        <f>IF(CZ_EN=1,VLOOKUP("Zbývající Očekávání",Slovnik,1,0),VLOOKUP("Zbývající Očekávání",Slovnik,2,0))</f>
        <v>Zbývající Očekávání</v>
      </c>
      <c r="D76" s="40" t="str">
        <f>$D$6</f>
        <v>tis. Kč</v>
      </c>
      <c r="E76" s="137"/>
    </row>
    <row r="77" spans="1:5" ht="14.25">
      <c r="A77" s="18"/>
      <c r="B77" s="18"/>
      <c r="D77" s="1"/>
      <c r="E77" s="1"/>
    </row>
    <row r="78" spans="1:16" ht="14.25">
      <c r="A78" s="18"/>
      <c r="B78" s="18"/>
      <c r="C78" s="38" t="str">
        <f>IF(CZ_EN=1,VLOOKUP("Provozní náklady",Slovnik,1,0),VLOOKUP("Provozní náklady",Slovnik,2,0))</f>
        <v>Provozní náklady</v>
      </c>
      <c r="D78" s="25"/>
      <c r="E78" s="31">
        <f aca="true" t="shared" si="17" ref="E78:P78">E2</f>
        <v>2020</v>
      </c>
      <c r="F78" s="31">
        <f t="shared" si="17"/>
        <v>2021</v>
      </c>
      <c r="G78" s="31">
        <f t="shared" si="17"/>
        <v>2022</v>
      </c>
      <c r="H78" s="31">
        <f t="shared" si="17"/>
        <v>2023</v>
      </c>
      <c r="I78" s="31">
        <f t="shared" si="17"/>
        <v>2024</v>
      </c>
      <c r="J78" s="31">
        <f t="shared" si="17"/>
        <v>2025</v>
      </c>
      <c r="K78" s="31">
        <f t="shared" si="17"/>
        <v>2026</v>
      </c>
      <c r="L78" s="31">
        <f t="shared" si="17"/>
        <v>2027</v>
      </c>
      <c r="M78" s="31">
        <f t="shared" si="17"/>
        <v>2028</v>
      </c>
      <c r="N78" s="31">
        <f t="shared" si="17"/>
        <v>2029</v>
      </c>
      <c r="O78" s="31">
        <f t="shared" si="17"/>
        <v>2030</v>
      </c>
      <c r="P78" s="31">
        <f t="shared" si="17"/>
        <v>2031</v>
      </c>
    </row>
    <row r="79" spans="1:16" ht="14.25">
      <c r="A79" s="18"/>
      <c r="B79" s="18"/>
      <c r="C79" s="116" t="str">
        <f>IF(CZ_EN=1,VLOOKUP("1. Materiál",Slovnik,1,0),VLOOKUP("1. Materiál",Slovnik,2,0))</f>
        <v>1. Materiál</v>
      </c>
      <c r="D79" s="40"/>
      <c r="E79" s="15"/>
      <c r="F79" s="415" t="s">
        <v>594</v>
      </c>
      <c r="G79" s="417">
        <f>SUM(F104:P104)</f>
        <v>0</v>
      </c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4.25">
      <c r="A80" s="143" t="s">
        <v>308</v>
      </c>
      <c r="B80" s="18"/>
      <c r="C80" s="41" t="str">
        <f>IF(CZ_EN=1,VLOOKUP("1.1 surová voda podzemní + povrchová",Slovnik,1,0),VLOOKUP("1.1 surová voda podzemní + povrchová",Slovnik,2,0))</f>
        <v>1.1 surová voda podzemní + povrchová</v>
      </c>
      <c r="D80" s="48" t="str">
        <f>$D$6</f>
        <v>tis. Kč</v>
      </c>
      <c r="E80" s="205">
        <v>0</v>
      </c>
      <c r="F80" s="445">
        <f>'[1]PV ex ante'!F162</f>
        <v>0</v>
      </c>
      <c r="G80" s="446">
        <f>'[1]PV ex ante'!G162</f>
        <v>0</v>
      </c>
      <c r="H80" s="446">
        <f>'[1]PV ex ante'!H162</f>
        <v>0</v>
      </c>
      <c r="I80" s="446">
        <f>'[1]PV ex ante'!I162</f>
        <v>0</v>
      </c>
      <c r="J80" s="446">
        <f>'[1]PV ex ante'!J162</f>
        <v>0</v>
      </c>
      <c r="K80" s="446">
        <f>'[1]PV ex ante'!K162</f>
        <v>0</v>
      </c>
      <c r="L80" s="446">
        <f>'[1]PV ex ante'!L162</f>
        <v>0</v>
      </c>
      <c r="M80" s="446">
        <f>'[1]PV ex ante'!M162</f>
        <v>0</v>
      </c>
      <c r="N80" s="446">
        <f>'[1]PV ex ante'!N162</f>
        <v>0</v>
      </c>
      <c r="O80" s="446">
        <f>'[1]PV ex ante'!O162</f>
        <v>0</v>
      </c>
      <c r="P80" s="446">
        <f>'[1]PV ex ante'!P162</f>
        <v>0</v>
      </c>
    </row>
    <row r="81" spans="1:16" ht="14.25">
      <c r="A81" s="143" t="s">
        <v>308</v>
      </c>
      <c r="B81" s="18"/>
      <c r="C81" s="44" t="str">
        <f>IF(CZ_EN=1,VLOOKUP("1.2 pitná voda převzatá + odpadní voda předaná k čištění",Slovnik,1,0),VLOOKUP("1.2 pitná voda převzatá + odpadní voda předaná k čištění",Slovnik,2,0))</f>
        <v>1.2 pitná voda převzatá + odpadní voda předaná k čištění</v>
      </c>
      <c r="D81" s="52" t="str">
        <f>$D$6</f>
        <v>tis. Kč</v>
      </c>
      <c r="E81" s="207">
        <v>0</v>
      </c>
      <c r="F81" s="443">
        <f>'[1]PV ex ante'!F163</f>
        <v>0</v>
      </c>
      <c r="G81" s="444">
        <f>'[1]PV ex ante'!G163</f>
        <v>2921</v>
      </c>
      <c r="H81" s="444">
        <f>'[1]PV ex ante'!H163</f>
        <v>2990</v>
      </c>
      <c r="I81" s="444">
        <f>'[1]PV ex ante'!I163</f>
        <v>3105</v>
      </c>
      <c r="J81" s="444">
        <f>'[1]PV ex ante'!J163</f>
        <v>3220</v>
      </c>
      <c r="K81" s="444">
        <f>'[1]PV ex ante'!K163</f>
        <v>3335</v>
      </c>
      <c r="L81" s="444">
        <f>'[1]PV ex ante'!L163</f>
        <v>3335</v>
      </c>
      <c r="M81" s="444">
        <f>'[1]PV ex ante'!M163</f>
        <v>3335</v>
      </c>
      <c r="N81" s="444">
        <f>'[1]PV ex ante'!N163</f>
        <v>3335</v>
      </c>
      <c r="O81" s="444">
        <f>'[1]PV ex ante'!O163</f>
        <v>3335</v>
      </c>
      <c r="P81" s="444">
        <f>'[1]PV ex ante'!P163</f>
        <v>3335</v>
      </c>
    </row>
    <row r="82" spans="1:16" ht="14.25">
      <c r="A82" s="143" t="s">
        <v>308</v>
      </c>
      <c r="B82" s="18"/>
      <c r="C82" s="44" t="str">
        <f>IF(CZ_EN=1,VLOOKUP("1.3 chemikálie",Slovnik,1,0),VLOOKUP("1.3 chemikálie",Slovnik,2,0))</f>
        <v>1.3 chemikálie</v>
      </c>
      <c r="D82" s="52" t="str">
        <f>$D$6</f>
        <v>tis. Kč</v>
      </c>
      <c r="E82" s="207">
        <v>0</v>
      </c>
      <c r="F82" s="443">
        <f>'[1]PV ex ante'!F164</f>
        <v>0</v>
      </c>
      <c r="G82" s="444">
        <f>'[1]PV ex ante'!G164</f>
        <v>0</v>
      </c>
      <c r="H82" s="444">
        <f>'[1]PV ex ante'!H164</f>
        <v>0</v>
      </c>
      <c r="I82" s="444">
        <f>'[1]PV ex ante'!I164</f>
        <v>0</v>
      </c>
      <c r="J82" s="444">
        <f>'[1]PV ex ante'!J164</f>
        <v>0</v>
      </c>
      <c r="K82" s="444">
        <f>'[1]PV ex ante'!K164</f>
        <v>0</v>
      </c>
      <c r="L82" s="444">
        <f>'[1]PV ex ante'!L164</f>
        <v>0</v>
      </c>
      <c r="M82" s="444">
        <f>'[1]PV ex ante'!M164</f>
        <v>0</v>
      </c>
      <c r="N82" s="444">
        <f>'[1]PV ex ante'!N164</f>
        <v>0</v>
      </c>
      <c r="O82" s="444">
        <f>'[1]PV ex ante'!O164</f>
        <v>0</v>
      </c>
      <c r="P82" s="444">
        <f>'[1]PV ex ante'!P164</f>
        <v>0</v>
      </c>
    </row>
    <row r="83" spans="1:16" ht="14.25">
      <c r="A83" s="143" t="s">
        <v>308</v>
      </c>
      <c r="B83" s="18"/>
      <c r="C83" s="45" t="str">
        <f>IF(CZ_EN=1,VLOOKUP("1.4 ostatní materiál",Slovnik,1,0),VLOOKUP("1.4 ostatní materiál",Slovnik,2,0))</f>
        <v>1.4 ostatní materiál</v>
      </c>
      <c r="D83" s="49" t="str">
        <f>$D$6</f>
        <v>tis. Kč</v>
      </c>
      <c r="E83" s="211">
        <v>0</v>
      </c>
      <c r="F83" s="441">
        <f>'[1]PV ex ante'!F165</f>
        <v>0</v>
      </c>
      <c r="G83" s="442">
        <f>'[1]PV ex ante'!G165</f>
        <v>0</v>
      </c>
      <c r="H83" s="442">
        <f>'[1]PV ex ante'!H165</f>
        <v>0</v>
      </c>
      <c r="I83" s="442">
        <f>'[1]PV ex ante'!I165</f>
        <v>0</v>
      </c>
      <c r="J83" s="442">
        <f>'[1]PV ex ante'!J165</f>
        <v>0</v>
      </c>
      <c r="K83" s="442">
        <f>'[1]PV ex ante'!K165</f>
        <v>0</v>
      </c>
      <c r="L83" s="442">
        <f>'[1]PV ex ante'!L165</f>
        <v>0</v>
      </c>
      <c r="M83" s="442">
        <f>'[1]PV ex ante'!M165</f>
        <v>0</v>
      </c>
      <c r="N83" s="442">
        <f>'[1]PV ex ante'!N165</f>
        <v>0</v>
      </c>
      <c r="O83" s="442">
        <f>'[1]PV ex ante'!O165</f>
        <v>0</v>
      </c>
      <c r="P83" s="442">
        <f>'[1]PV ex ante'!P165</f>
        <v>0</v>
      </c>
    </row>
    <row r="84" spans="1:16" ht="14.25">
      <c r="A84" s="18"/>
      <c r="B84" s="18"/>
      <c r="C84" s="117" t="str">
        <f>IF(CZ_EN=1,VLOOKUP("2. Energie",Slovnik,1,0),VLOOKUP("2. Energie",Slovnik,2,0))</f>
        <v>2. Energie</v>
      </c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4.25">
      <c r="A85" s="143" t="s">
        <v>308</v>
      </c>
      <c r="B85" s="18"/>
      <c r="C85" s="41" t="str">
        <f>IF(CZ_EN=1,VLOOKUP("2.1 elektrická energie",Slovnik,1,0),VLOOKUP("2.1 elektrická energie",Slovnik,2,0))</f>
        <v>2.1 elektrická energie</v>
      </c>
      <c r="D85" s="48" t="str">
        <f>$D$6</f>
        <v>tis. Kč</v>
      </c>
      <c r="E85" s="205">
        <v>0</v>
      </c>
      <c r="F85" s="445">
        <f>'[1]PV ex ante'!F166</f>
        <v>0</v>
      </c>
      <c r="G85" s="446">
        <f>'[1]PV ex ante'!G166</f>
        <v>0</v>
      </c>
      <c r="H85" s="446">
        <f>'[1]PV ex ante'!H166</f>
        <v>0</v>
      </c>
      <c r="I85" s="446">
        <f>'[1]PV ex ante'!I166</f>
        <v>0</v>
      </c>
      <c r="J85" s="446">
        <f>'[1]PV ex ante'!J166</f>
        <v>0</v>
      </c>
      <c r="K85" s="446">
        <f>'[1]PV ex ante'!K166</f>
        <v>0</v>
      </c>
      <c r="L85" s="446">
        <f>'[1]PV ex ante'!L166</f>
        <v>0</v>
      </c>
      <c r="M85" s="446">
        <f>'[1]PV ex ante'!M166</f>
        <v>0</v>
      </c>
      <c r="N85" s="446">
        <f>'[1]PV ex ante'!N166</f>
        <v>0</v>
      </c>
      <c r="O85" s="446">
        <f>'[1]PV ex ante'!O166</f>
        <v>0</v>
      </c>
      <c r="P85" s="446">
        <f>'[1]PV ex ante'!P166</f>
        <v>0</v>
      </c>
    </row>
    <row r="86" spans="1:16" ht="14.25">
      <c r="A86" s="143" t="s">
        <v>308</v>
      </c>
      <c r="B86" s="18"/>
      <c r="C86" s="45" t="str">
        <f>IF(CZ_EN=1,VLOOKUP("2.2 ostatní energie (plyn, pevná a kapalná energie)",Slovnik,1,0),VLOOKUP("2.2 ostatní energie (plyn, pevná a kapalná energie)",Slovnik,2,0))</f>
        <v>2.2 ostatní energie (plyn, pevná a kapalná energie)</v>
      </c>
      <c r="D86" s="49" t="str">
        <f>$D$6</f>
        <v>tis. Kč</v>
      </c>
      <c r="E86" s="211">
        <v>0</v>
      </c>
      <c r="F86" s="441">
        <f>'[1]PV ex ante'!F167</f>
        <v>0</v>
      </c>
      <c r="G86" s="442">
        <f>'[1]PV ex ante'!G167</f>
        <v>0</v>
      </c>
      <c r="H86" s="442">
        <f>'[1]PV ex ante'!H167</f>
        <v>0</v>
      </c>
      <c r="I86" s="442">
        <f>'[1]PV ex ante'!I167</f>
        <v>0</v>
      </c>
      <c r="J86" s="442">
        <f>'[1]PV ex ante'!J167</f>
        <v>0</v>
      </c>
      <c r="K86" s="442">
        <f>'[1]PV ex ante'!K167</f>
        <v>0</v>
      </c>
      <c r="L86" s="442">
        <f>'[1]PV ex ante'!L167</f>
        <v>0</v>
      </c>
      <c r="M86" s="442">
        <f>'[1]PV ex ante'!M167</f>
        <v>0</v>
      </c>
      <c r="N86" s="442">
        <f>'[1]PV ex ante'!N167</f>
        <v>0</v>
      </c>
      <c r="O86" s="442">
        <f>'[1]PV ex ante'!O167</f>
        <v>0</v>
      </c>
      <c r="P86" s="442">
        <f>'[1]PV ex ante'!P167</f>
        <v>0</v>
      </c>
    </row>
    <row r="87" spans="1:16" ht="14.25">
      <c r="A87" s="18"/>
      <c r="B87" s="18"/>
      <c r="C87" s="117" t="str">
        <f>IF(CZ_EN=1,VLOOKUP("3. Mzdy",Slovnik,1,0),VLOOKUP("3. Mzdy",Slovnik,2,0))</f>
        <v>3. Mzdy</v>
      </c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4.25">
      <c r="A88" s="143" t="s">
        <v>308</v>
      </c>
      <c r="B88" s="18"/>
      <c r="C88" s="41" t="str">
        <f>IF(CZ_EN=1,VLOOKUP("3.1 přímé mzdy",Slovnik,1,0),VLOOKUP("3.1 přímé mzdy",Slovnik,2,0))</f>
        <v>3.1 přímé mzdy</v>
      </c>
      <c r="D88" s="48" t="str">
        <f>$D$6</f>
        <v>tis. Kč</v>
      </c>
      <c r="E88" s="205">
        <v>0</v>
      </c>
      <c r="F88" s="445">
        <f>'[1]PV ex ante'!F168</f>
        <v>0</v>
      </c>
      <c r="G88" s="446">
        <f>'[1]PV ex ante'!G168</f>
        <v>0</v>
      </c>
      <c r="H88" s="446">
        <f>'[1]PV ex ante'!H168</f>
        <v>0</v>
      </c>
      <c r="I88" s="446">
        <f>'[1]PV ex ante'!I168</f>
        <v>0</v>
      </c>
      <c r="J88" s="446">
        <f>'[1]PV ex ante'!J168</f>
        <v>0</v>
      </c>
      <c r="K88" s="446">
        <f>'[1]PV ex ante'!K168</f>
        <v>0</v>
      </c>
      <c r="L88" s="446">
        <f>'[1]PV ex ante'!L168</f>
        <v>0</v>
      </c>
      <c r="M88" s="446">
        <f>'[1]PV ex ante'!M168</f>
        <v>0</v>
      </c>
      <c r="N88" s="446">
        <f>'[1]PV ex ante'!N168</f>
        <v>0</v>
      </c>
      <c r="O88" s="446">
        <f>'[1]PV ex ante'!O168</f>
        <v>0</v>
      </c>
      <c r="P88" s="446">
        <f>'[1]PV ex ante'!P168</f>
        <v>0</v>
      </c>
    </row>
    <row r="89" spans="1:16" ht="14.25">
      <c r="A89" s="143" t="s">
        <v>308</v>
      </c>
      <c r="B89" s="18"/>
      <c r="C89" s="45" t="str">
        <f>IF(CZ_EN=1,VLOOKUP("3.2 ostatní osobní náklady",Slovnik,1,0),VLOOKUP("3.2 ostatní osobní náklady",Slovnik,2,0))</f>
        <v>3.2 ostatní osobní náklady</v>
      </c>
      <c r="D89" s="49" t="str">
        <f>$D$6</f>
        <v>tis. Kč</v>
      </c>
      <c r="E89" s="211">
        <v>0</v>
      </c>
      <c r="F89" s="441">
        <f>'[1]PV ex ante'!F169</f>
        <v>0</v>
      </c>
      <c r="G89" s="442">
        <f>'[1]PV ex ante'!G169</f>
        <v>0</v>
      </c>
      <c r="H89" s="442">
        <f>'[1]PV ex ante'!H169</f>
        <v>0</v>
      </c>
      <c r="I89" s="442">
        <f>'[1]PV ex ante'!I169</f>
        <v>0</v>
      </c>
      <c r="J89" s="442">
        <f>'[1]PV ex ante'!J169</f>
        <v>0</v>
      </c>
      <c r="K89" s="442">
        <f>'[1]PV ex ante'!K169</f>
        <v>0</v>
      </c>
      <c r="L89" s="442">
        <f>'[1]PV ex ante'!L169</f>
        <v>0</v>
      </c>
      <c r="M89" s="442">
        <f>'[1]PV ex ante'!M169</f>
        <v>0</v>
      </c>
      <c r="N89" s="442">
        <f>'[1]PV ex ante'!N169</f>
        <v>0</v>
      </c>
      <c r="O89" s="442">
        <f>'[1]PV ex ante'!O169</f>
        <v>0</v>
      </c>
      <c r="P89" s="442">
        <f>'[1]PV ex ante'!P169</f>
        <v>0</v>
      </c>
    </row>
    <row r="90" spans="1:16" ht="14.25">
      <c r="A90" s="18"/>
      <c r="B90" s="18"/>
      <c r="C90" s="117" t="str">
        <f>IF(CZ_EN=1,VLOOKUP("4. Ostatní přímé náklady, 5. Provozní náklady",Slovnik,1,0),VLOOKUP("4. Ostatní přímé náklady, 5. Provozní náklady",Slovnik,2,0))</f>
        <v>4. Ostatní přímé náklady, 5. Provozní náklady</v>
      </c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4.25">
      <c r="A91" s="143" t="s">
        <v>308</v>
      </c>
      <c r="B91" s="18"/>
      <c r="C91" s="114" t="str">
        <f>IF(CZ_EN=1,VLOOKUP("4.1 odpisy - pouze historické údaje!",Slovnik,1,0),VLOOKUP("4.1 odpisy - pouze historické údaje!",Slovnik,2,0))</f>
        <v>4.1 odpisy - pouze historické údaje!</v>
      </c>
      <c r="D91" s="48" t="str">
        <f aca="true" t="shared" si="18" ref="D91:D103">$D$6</f>
        <v>tis. Kč</v>
      </c>
      <c r="E91" s="205">
        <v>0</v>
      </c>
      <c r="F91" s="280">
        <v>0</v>
      </c>
      <c r="G91" s="295"/>
      <c r="H91" s="295"/>
      <c r="I91" s="295"/>
      <c r="J91" s="295"/>
      <c r="K91" s="295"/>
      <c r="L91" s="295"/>
      <c r="M91" s="295"/>
      <c r="N91" s="295"/>
      <c r="O91" s="295"/>
      <c r="P91" s="295"/>
    </row>
    <row r="92" spans="1:16" ht="14.25">
      <c r="A92" s="143" t="s">
        <v>308</v>
      </c>
      <c r="B92" s="18"/>
      <c r="C92" s="44" t="str">
        <f>IF(CZ_EN=1,VLOOKUP("4.2 opravy infrastrukturního majetku",Slovnik,1,0),VLOOKUP("4.2 opravy infrastrukturního majetku",Slovnik,2,0))</f>
        <v>4.2 opravy infrastrukturního majetku</v>
      </c>
      <c r="D92" s="52" t="str">
        <f t="shared" si="18"/>
        <v>tis. Kč</v>
      </c>
      <c r="E92" s="207">
        <v>0</v>
      </c>
      <c r="F92" s="443">
        <f>'[1]PV ex ante'!F170+'[1]PV ex ante'!F171</f>
        <v>0</v>
      </c>
      <c r="G92" s="444">
        <f>'[1]PV ex ante'!G170+'[1]PV ex ante'!G171</f>
        <v>0</v>
      </c>
      <c r="H92" s="444">
        <f>'[1]PV ex ante'!H170+'[1]PV ex ante'!H171</f>
        <v>0</v>
      </c>
      <c r="I92" s="444">
        <f>'[1]PV ex ante'!I170+'[1]PV ex ante'!I171</f>
        <v>0</v>
      </c>
      <c r="J92" s="444">
        <f>'[1]PV ex ante'!J170+'[1]PV ex ante'!J171</f>
        <v>0</v>
      </c>
      <c r="K92" s="444">
        <f>'[1]PV ex ante'!K170+'[1]PV ex ante'!K171</f>
        <v>0</v>
      </c>
      <c r="L92" s="444">
        <f>'[1]PV ex ante'!L170+'[1]PV ex ante'!L171</f>
        <v>0</v>
      </c>
      <c r="M92" s="444">
        <f>'[1]PV ex ante'!M170+'[1]PV ex ante'!M171</f>
        <v>0</v>
      </c>
      <c r="N92" s="444">
        <f>'[1]PV ex ante'!N170+'[1]PV ex ante'!N171</f>
        <v>0</v>
      </c>
      <c r="O92" s="444">
        <f>'[1]PV ex ante'!O170+'[1]PV ex ante'!O171</f>
        <v>0</v>
      </c>
      <c r="P92" s="444">
        <f>'[1]PV ex ante'!P170+'[1]PV ex ante'!P171</f>
        <v>0</v>
      </c>
    </row>
    <row r="93" spans="1:16" ht="14.25">
      <c r="A93" s="143" t="s">
        <v>308</v>
      </c>
      <c r="B93" s="18"/>
      <c r="C93" s="44" t="str">
        <f>IF(CZ_EN=1,VLOOKUP("4.3 nájem infrastrukturního majetku - pouze historické údaje!",Slovnik,1,0),VLOOKUP("4.3 nájem infrastrukturního majetku - pouze historické údaje!",Slovnik,2,0))</f>
        <v>4.3 nájem infrastrukturního majetku - pouze historické údaje!</v>
      </c>
      <c r="D93" s="52" t="str">
        <f t="shared" si="18"/>
        <v>tis. Kč</v>
      </c>
      <c r="E93" s="207">
        <v>0</v>
      </c>
      <c r="F93" s="282">
        <f>'Najemne V'!F26</f>
        <v>0</v>
      </c>
      <c r="G93" s="294"/>
      <c r="H93" s="294"/>
      <c r="I93" s="294"/>
      <c r="J93" s="294"/>
      <c r="K93" s="294"/>
      <c r="L93" s="294"/>
      <c r="M93" s="294"/>
      <c r="N93" s="294"/>
      <c r="O93" s="294"/>
      <c r="P93" s="294"/>
    </row>
    <row r="94" spans="1:16" ht="14.25">
      <c r="A94" s="143" t="s">
        <v>308</v>
      </c>
      <c r="B94" s="18"/>
      <c r="C94" s="44" t="str">
        <f>IF(CZ_EN=1,VLOOKUP("5.1 poplatky za vypouštění odpadních vod",Slovnik,1,0),VLOOKUP("5.1 poplatky za vypouštění odpadních vod",Slovnik,2,0))</f>
        <v>5.1 poplatky za vypouštění odpadních vod</v>
      </c>
      <c r="D94" s="52" t="str">
        <f t="shared" si="18"/>
        <v>tis. Kč</v>
      </c>
      <c r="E94" s="207">
        <v>0</v>
      </c>
      <c r="F94" s="443">
        <f>'[1]PV ex ante'!F172</f>
        <v>0</v>
      </c>
      <c r="G94" s="444">
        <f>'[1]PV ex ante'!G172</f>
        <v>0</v>
      </c>
      <c r="H94" s="444">
        <f>'[1]PV ex ante'!H172</f>
        <v>0</v>
      </c>
      <c r="I94" s="444">
        <f>'[1]PV ex ante'!I172</f>
        <v>0</v>
      </c>
      <c r="J94" s="444">
        <f>'[1]PV ex ante'!J172</f>
        <v>0</v>
      </c>
      <c r="K94" s="444">
        <f>'[1]PV ex ante'!K172</f>
        <v>0</v>
      </c>
      <c r="L94" s="444">
        <f>'[1]PV ex ante'!L172</f>
        <v>0</v>
      </c>
      <c r="M94" s="444">
        <f>'[1]PV ex ante'!M172</f>
        <v>0</v>
      </c>
      <c r="N94" s="444">
        <f>'[1]PV ex ante'!N172</f>
        <v>0</v>
      </c>
      <c r="O94" s="444">
        <f>'[1]PV ex ante'!O172</f>
        <v>0</v>
      </c>
      <c r="P94" s="444">
        <f>'[1]PV ex ante'!P172</f>
        <v>0</v>
      </c>
    </row>
    <row r="95" spans="1:16" ht="14.25">
      <c r="A95" s="143" t="s">
        <v>308</v>
      </c>
      <c r="B95" s="18"/>
      <c r="C95" s="44" t="str">
        <f>IF(CZ_EN=1,VLOOKUP("5.2 ostatní provozní náklady externí",Slovnik,1,0),VLOOKUP("5.2 ostatní provozní náklady externí",Slovnik,2,0))</f>
        <v>5.2 ostatní provozní náklady externí</v>
      </c>
      <c r="D95" s="52" t="str">
        <f t="shared" si="18"/>
        <v>tis. Kč</v>
      </c>
      <c r="E95" s="207">
        <v>0</v>
      </c>
      <c r="F95" s="443">
        <f>'[1]PV ex ante'!F173</f>
        <v>0</v>
      </c>
      <c r="G95" s="444">
        <f>'[1]PV ex ante'!G173</f>
        <v>0</v>
      </c>
      <c r="H95" s="444">
        <f>'[1]PV ex ante'!H173</f>
        <v>0</v>
      </c>
      <c r="I95" s="444">
        <f>'[1]PV ex ante'!I173</f>
        <v>0</v>
      </c>
      <c r="J95" s="444">
        <f>'[1]PV ex ante'!J173</f>
        <v>0</v>
      </c>
      <c r="K95" s="444">
        <f>'[1]PV ex ante'!K173</f>
        <v>0</v>
      </c>
      <c r="L95" s="444">
        <f>'[1]PV ex ante'!L173</f>
        <v>0</v>
      </c>
      <c r="M95" s="444">
        <f>'[1]PV ex ante'!M173</f>
        <v>0</v>
      </c>
      <c r="N95" s="444">
        <f>'[1]PV ex ante'!N173</f>
        <v>0</v>
      </c>
      <c r="O95" s="444">
        <f>'[1]PV ex ante'!O173</f>
        <v>0</v>
      </c>
      <c r="P95" s="444">
        <f>'[1]PV ex ante'!P173</f>
        <v>0</v>
      </c>
    </row>
    <row r="96" spans="1:16" ht="14.25">
      <c r="A96" s="143" t="s">
        <v>308</v>
      </c>
      <c r="B96" s="18"/>
      <c r="C96" s="45" t="str">
        <f>IF(CZ_EN=1,VLOOKUP("5.3 ostatní provozní náklady ve vlastní režii",Slovnik,1,0),VLOOKUP("5.3 ostatní provozní náklady ve vlastní režii",Slovnik,2,0))</f>
        <v>5.3 ostatní provozní náklady ve vlastní režii</v>
      </c>
      <c r="D96" s="49" t="str">
        <f t="shared" si="18"/>
        <v>tis. Kč</v>
      </c>
      <c r="E96" s="211">
        <v>0</v>
      </c>
      <c r="F96" s="441">
        <f>'[1]PV ex ante'!F174</f>
        <v>0</v>
      </c>
      <c r="G96" s="442">
        <f>'[1]PV ex ante'!G174</f>
        <v>0</v>
      </c>
      <c r="H96" s="442">
        <f>'[1]PV ex ante'!H174</f>
        <v>0</v>
      </c>
      <c r="I96" s="442">
        <f>'[1]PV ex ante'!I174</f>
        <v>0</v>
      </c>
      <c r="J96" s="442">
        <f>'[1]PV ex ante'!J174</f>
        <v>0</v>
      </c>
      <c r="K96" s="442">
        <f>'[1]PV ex ante'!K174</f>
        <v>0</v>
      </c>
      <c r="L96" s="442">
        <f>'[1]PV ex ante'!L174</f>
        <v>0</v>
      </c>
      <c r="M96" s="442">
        <f>'[1]PV ex ante'!M174</f>
        <v>0</v>
      </c>
      <c r="N96" s="442">
        <f>'[1]PV ex ante'!N174</f>
        <v>0</v>
      </c>
      <c r="O96" s="442">
        <f>'[1]PV ex ante'!O174</f>
        <v>0</v>
      </c>
      <c r="P96" s="442">
        <f>'[1]PV ex ante'!P174</f>
        <v>0</v>
      </c>
    </row>
    <row r="97" spans="1:16" ht="14.25">
      <c r="A97" s="143" t="s">
        <v>308</v>
      </c>
      <c r="B97" s="18"/>
      <c r="C97" s="117" t="str">
        <f>IF(CZ_EN=1,VLOOKUP("6. Finanční náklady - 7. Finanční výnosy",Slovnik,1,0),VLOOKUP("6. Finanční náklady - 7. Finanční výnosy",Slovnik,2,0))</f>
        <v>6. Finanční náklady - 7. Finanční výnosy</v>
      </c>
      <c r="D97" s="52" t="str">
        <f t="shared" si="18"/>
        <v>tis. Kč</v>
      </c>
      <c r="E97" s="207">
        <v>0</v>
      </c>
      <c r="F97" s="448">
        <f>'[1]PV ex ante'!F213+'[1]PV ex ante'!F214</f>
        <v>0</v>
      </c>
      <c r="G97" s="449">
        <f>'[1]PV ex ante'!G213+'[1]PV ex ante'!G214</f>
        <v>0</v>
      </c>
      <c r="H97" s="449">
        <f>'[1]PV ex ante'!H213+'[1]PV ex ante'!H214</f>
        <v>0</v>
      </c>
      <c r="I97" s="449">
        <f>'[1]PV ex ante'!I213+'[1]PV ex ante'!I214</f>
        <v>0</v>
      </c>
      <c r="J97" s="449">
        <f>'[1]PV ex ante'!J213+'[1]PV ex ante'!J214</f>
        <v>0</v>
      </c>
      <c r="K97" s="449">
        <f>'[1]PV ex ante'!K213+'[1]PV ex ante'!K214</f>
        <v>0</v>
      </c>
      <c r="L97" s="449">
        <f>'[1]PV ex ante'!L213+'[1]PV ex ante'!L214</f>
        <v>0</v>
      </c>
      <c r="M97" s="449">
        <f>'[1]PV ex ante'!M213+'[1]PV ex ante'!M214</f>
        <v>0</v>
      </c>
      <c r="N97" s="449">
        <f>'[1]PV ex ante'!N213+'[1]PV ex ante'!N214</f>
        <v>0</v>
      </c>
      <c r="O97" s="449">
        <f>'[1]PV ex ante'!O213+'[1]PV ex ante'!O214</f>
        <v>0</v>
      </c>
      <c r="P97" s="449">
        <f>'[1]PV ex ante'!P213+'[1]PV ex ante'!P214</f>
        <v>0</v>
      </c>
    </row>
    <row r="98" spans="1:16" ht="14.25">
      <c r="A98" s="143" t="s">
        <v>308</v>
      </c>
      <c r="B98" s="18"/>
      <c r="C98" s="118" t="str">
        <f>CONCATENATE(IF(CZ_EN=1,VLOOKUP("8. Výrobní režie",Slovnik,1,0),VLOOKUP("8. Výrobní režie",Slovnik,2,0)),IF(opm=1,bez,vč))</f>
        <v>8. Výrobní režie (včetně odpisů)</v>
      </c>
      <c r="D98" s="48" t="str">
        <f t="shared" si="18"/>
        <v>tis. Kč</v>
      </c>
      <c r="E98" s="205">
        <v>0</v>
      </c>
      <c r="F98" s="175">
        <f>'[1]PV ex ante'!F175</f>
        <v>0</v>
      </c>
      <c r="G98" s="175">
        <f>'[1]PV ex ante'!G175</f>
        <v>0</v>
      </c>
      <c r="H98" s="175">
        <f>'[1]PV ex ante'!H175</f>
        <v>0</v>
      </c>
      <c r="I98" s="175">
        <f>'[1]PV ex ante'!I175</f>
        <v>0</v>
      </c>
      <c r="J98" s="175">
        <f>'[1]PV ex ante'!J175</f>
        <v>0</v>
      </c>
      <c r="K98" s="175">
        <f>'[1]PV ex ante'!K175</f>
        <v>0</v>
      </c>
      <c r="L98" s="175">
        <f>'[1]PV ex ante'!L175</f>
        <v>0</v>
      </c>
      <c r="M98" s="175">
        <f>'[1]PV ex ante'!M175</f>
        <v>0</v>
      </c>
      <c r="N98" s="175">
        <f>'[1]PV ex ante'!N175</f>
        <v>0</v>
      </c>
      <c r="O98" s="175">
        <f>'[1]PV ex ante'!O175</f>
        <v>0</v>
      </c>
      <c r="P98" s="175">
        <f>'[1]PV ex ante'!P175</f>
        <v>0</v>
      </c>
    </row>
    <row r="99" spans="1:16" ht="14.25">
      <c r="A99" s="143" t="s">
        <v>308</v>
      </c>
      <c r="B99" s="18"/>
      <c r="C99" s="45" t="str">
        <f>IF(CZ_EN=1,VLOOKUP("k tomu odpisy",Slovnik,1,0),VLOOKUP("k tomu odpisy",Slovnik,2,0))</f>
        <v>k tomu odpisy</v>
      </c>
      <c r="D99" s="49" t="str">
        <f t="shared" si="18"/>
        <v>tis. Kč</v>
      </c>
      <c r="E99" s="211">
        <v>0</v>
      </c>
      <c r="F99" s="419">
        <f>IF(OR(opm=2,opm=3),0,'Vypocty V'!F27-'Vstupy V'!F101)</f>
        <v>0</v>
      </c>
      <c r="G99" s="390">
        <f>IF(OR(opm=2,opm=3),0,'Vypocty V'!G27-'Vstupy V'!G101)</f>
        <v>0</v>
      </c>
      <c r="H99" s="390">
        <f>IF(OR(opm=2,opm=3),0,'Vypocty V'!H27-'Vstupy V'!H101)</f>
        <v>0</v>
      </c>
      <c r="I99" s="390">
        <f>IF(OR(opm=2,opm=3),0,'Vypocty V'!I27-'Vstupy V'!I101)</f>
        <v>0</v>
      </c>
      <c r="J99" s="390">
        <f>IF(OR(opm=2,opm=3),0,'Vypocty V'!J27-'Vstupy V'!J101)</f>
        <v>0</v>
      </c>
      <c r="K99" s="390">
        <f>IF(OR(opm=2,opm=3),0,'Vypocty V'!K27-'Vstupy V'!K101)</f>
        <v>0</v>
      </c>
      <c r="L99" s="390">
        <f>IF(OR(opm=2,opm=3),0,'Vypocty V'!L27-'Vstupy V'!L101)</f>
        <v>0</v>
      </c>
      <c r="M99" s="390">
        <f>IF(OR(opm=2,opm=3),0,'Vypocty V'!M27-'Vstupy V'!M101)</f>
        <v>0</v>
      </c>
      <c r="N99" s="390">
        <f>IF(OR(opm=2,opm=3),0,'Vypocty V'!N27-'Vstupy V'!N101)</f>
        <v>0</v>
      </c>
      <c r="O99" s="390">
        <f>IF(OR(opm=2,opm=3),0,'Vypocty V'!O27-'Vstupy V'!O101)</f>
        <v>0</v>
      </c>
      <c r="P99" s="390">
        <f>IF(OR(opm=2,opm=3),0,'Vypocty V'!P27-'Vstupy V'!P101)</f>
        <v>0</v>
      </c>
    </row>
    <row r="100" spans="1:16" ht="14.25">
      <c r="A100" s="143" t="s">
        <v>308</v>
      </c>
      <c r="B100" s="18"/>
      <c r="C100" s="118" t="str">
        <f>CONCATENATE(IF(CZ_EN=1,VLOOKUP("9. Správní režie",Slovnik,1,0),VLOOKUP("9. Správní režie",Slovnik,2,0)),IF(opm=1,bez,vč))</f>
        <v>9. Správní režie (včetně odpisů)</v>
      </c>
      <c r="D100" s="48" t="str">
        <f t="shared" si="18"/>
        <v>tis. Kč</v>
      </c>
      <c r="E100" s="205">
        <v>0</v>
      </c>
      <c r="F100" s="176">
        <f>'[1]PV ex ante'!F176</f>
        <v>0</v>
      </c>
      <c r="G100" s="176">
        <f>'[1]PV ex ante'!G176</f>
        <v>0</v>
      </c>
      <c r="H100" s="176">
        <f>'[1]PV ex ante'!H176</f>
        <v>0</v>
      </c>
      <c r="I100" s="176">
        <f>'[1]PV ex ante'!I176</f>
        <v>0</v>
      </c>
      <c r="J100" s="176">
        <f>'[1]PV ex ante'!J176</f>
        <v>0</v>
      </c>
      <c r="K100" s="176">
        <f>'[1]PV ex ante'!K176</f>
        <v>0</v>
      </c>
      <c r="L100" s="176">
        <f>'[1]PV ex ante'!L176</f>
        <v>0</v>
      </c>
      <c r="M100" s="176">
        <f>'[1]PV ex ante'!M176</f>
        <v>0</v>
      </c>
      <c r="N100" s="176">
        <f>'[1]PV ex ante'!N176</f>
        <v>0</v>
      </c>
      <c r="O100" s="176">
        <f>'[1]PV ex ante'!O176</f>
        <v>0</v>
      </c>
      <c r="P100" s="176">
        <f>'[1]PV ex ante'!P176</f>
        <v>0</v>
      </c>
    </row>
    <row r="101" spans="1:16" ht="14.25">
      <c r="A101" s="143" t="s">
        <v>308</v>
      </c>
      <c r="B101" s="18"/>
      <c r="C101" s="45" t="str">
        <f>C99</f>
        <v>k tomu odpisy</v>
      </c>
      <c r="D101" s="49" t="str">
        <f t="shared" si="18"/>
        <v>tis. Kč</v>
      </c>
      <c r="E101" s="211">
        <v>0</v>
      </c>
      <c r="F101" s="41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</row>
    <row r="102" spans="1:16" ht="14.25">
      <c r="A102" s="18"/>
      <c r="B102" s="18"/>
      <c r="C102" s="15" t="str">
        <f>IF(CZ_EN=1,VLOOKUP("Celkové vlastní náklady dle kalkulace",Slovnik,1,0),VLOOKUP("Celkové vlastní náklady dle kalkulace",Slovnik,2,0))</f>
        <v>Celkové vlastní náklady dle kalkulace</v>
      </c>
      <c r="D102" s="40" t="str">
        <f t="shared" si="18"/>
        <v>tis. Kč</v>
      </c>
      <c r="E102" s="216">
        <f>SUM(E80:E83,E85:E86,E88:E89,E91:E101)</f>
        <v>0</v>
      </c>
      <c r="F102" s="291">
        <f>SUM(F80:F83,F85:F86,F88:F89,F91:F101)</f>
        <v>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ht="25.5">
      <c r="A103" s="18"/>
      <c r="B103" s="18"/>
      <c r="C103" s="55" t="str">
        <f>IF(CZ_EN=1,VLOOKUP("Celkové vlastní náklady kromě odpisů, nájemného a finančních nákladů",Slovnik,1,0),VLOOKUP("Celkové vlastní náklady kromě odpisů, nájemného a finančních nákladů",Slovnik,2,0))</f>
        <v>Celkové vlastní náklady kromě odpisů, nájemného a finančních nákladů</v>
      </c>
      <c r="D103" s="49" t="str">
        <f t="shared" si="18"/>
        <v>tis. Kč</v>
      </c>
      <c r="E103" s="212">
        <f>SUM(E80:E83,E85:E86,E88:E89,E92,E94:E96,E98,E100)</f>
        <v>0</v>
      </c>
      <c r="F103" s="291">
        <f aca="true" t="shared" si="19" ref="F103:P103">SUM(F80:F83,F85:F86,F88:F89,F92,F94:F96,F98,F100)</f>
        <v>0</v>
      </c>
      <c r="G103" s="47">
        <f t="shared" si="19"/>
        <v>2921</v>
      </c>
      <c r="H103" s="47">
        <f t="shared" si="19"/>
        <v>2990</v>
      </c>
      <c r="I103" s="47">
        <f t="shared" si="19"/>
        <v>3105</v>
      </c>
      <c r="J103" s="47">
        <f t="shared" si="19"/>
        <v>3220</v>
      </c>
      <c r="K103" s="47">
        <f t="shared" si="19"/>
        <v>3335</v>
      </c>
      <c r="L103" s="47">
        <f t="shared" si="19"/>
        <v>3335</v>
      </c>
      <c r="M103" s="47">
        <f t="shared" si="19"/>
        <v>3335</v>
      </c>
      <c r="N103" s="47">
        <f t="shared" si="19"/>
        <v>3335</v>
      </c>
      <c r="O103" s="47">
        <f t="shared" si="19"/>
        <v>3335</v>
      </c>
      <c r="P103" s="47">
        <f t="shared" si="19"/>
        <v>3335</v>
      </c>
    </row>
    <row r="104" spans="1:16" ht="14.25">
      <c r="A104" s="18"/>
      <c r="B104" s="18"/>
      <c r="C104" s="18"/>
      <c r="D104" s="25"/>
      <c r="E104" s="32"/>
      <c r="F104" s="39">
        <f>F103-'[1]PV ex ante'!F177</f>
        <v>0</v>
      </c>
      <c r="G104" s="39">
        <f>G103-'[1]PV ex ante'!G177</f>
        <v>0</v>
      </c>
      <c r="H104" s="39">
        <f>H103-'[1]PV ex ante'!H177</f>
        <v>0</v>
      </c>
      <c r="I104" s="39">
        <f>I103-'[1]PV ex ante'!I177</f>
        <v>0</v>
      </c>
      <c r="J104" s="39">
        <f>J103-'[1]PV ex ante'!J177</f>
        <v>0</v>
      </c>
      <c r="K104" s="39">
        <f>K103-'[1]PV ex ante'!K177</f>
        <v>0</v>
      </c>
      <c r="L104" s="39">
        <f>L103-'[1]PV ex ante'!L177</f>
        <v>0</v>
      </c>
      <c r="M104" s="39">
        <f>M103-'[1]PV ex ante'!M177</f>
        <v>0</v>
      </c>
      <c r="N104" s="39">
        <f>N103-'[1]PV ex ante'!N177</f>
        <v>0</v>
      </c>
      <c r="O104" s="39">
        <f>O103-'[1]PV ex ante'!O177</f>
        <v>0</v>
      </c>
      <c r="P104" s="39">
        <f>P103-'[1]PV ex ante'!P177</f>
        <v>0</v>
      </c>
    </row>
    <row r="105" spans="1:16" ht="14.25">
      <c r="A105" s="9">
        <f>'Vypocty V'!D21</f>
        <v>1</v>
      </c>
      <c r="B105" s="18"/>
      <c r="C105" s="15" t="str">
        <f>IF(CZ_EN=1,VLOOKUP("Daň z příjmu právnických osob",Slovnik,1,0),VLOOKUP("Daň z příjmu právnických osob",Slovnik,2,0))</f>
        <v>Daň z příjmu právnických osob</v>
      </c>
      <c r="D105" s="40" t="str">
        <f>$D$6</f>
        <v>tis. Kč</v>
      </c>
      <c r="E105" s="233">
        <f>'Vypocty V'!E51+'Vypocty V'!E55</f>
        <v>0</v>
      </c>
      <c r="F105" s="290">
        <f>'Vypocty V'!F51+'Vypocty V'!F55</f>
        <v>0</v>
      </c>
      <c r="G105" s="158">
        <f>'Vypocty V'!G51+'Vypocty V'!G55</f>
        <v>14.191894786850995</v>
      </c>
      <c r="H105" s="158">
        <f>'Vypocty V'!H51+'Vypocty V'!H55</f>
        <v>14.476516883614913</v>
      </c>
      <c r="I105" s="158">
        <f>'Vypocty V'!I51+'Vypocty V'!I55</f>
        <v>14.950887044888054</v>
      </c>
      <c r="J105" s="158">
        <f>'Vypocty V'!J51+'Vypocty V'!J55</f>
        <v>15.425257206161195</v>
      </c>
      <c r="K105" s="158">
        <f>'Vypocty V'!K51+'Vypocty V'!K55</f>
        <v>15.899627367434336</v>
      </c>
      <c r="L105" s="158">
        <f>'Vypocty V'!L51+'Vypocty V'!L55</f>
        <v>15.899627367434336</v>
      </c>
      <c r="M105" s="158">
        <f>'Vypocty V'!M51+'Vypocty V'!M55</f>
        <v>15.899627367434336</v>
      </c>
      <c r="N105" s="158">
        <f>'Vypocty V'!N51+'Vypocty V'!N55</f>
        <v>15.899627367434336</v>
      </c>
      <c r="O105" s="158">
        <f>'Vypocty V'!O51+'Vypocty V'!O55</f>
        <v>15.899627367434336</v>
      </c>
      <c r="P105" s="158">
        <f>'Vypocty V'!P51+'Vypocty V'!P55</f>
        <v>15.899627367434336</v>
      </c>
    </row>
    <row r="106" spans="1:16" ht="14.25">
      <c r="A106" s="143" t="s">
        <v>308</v>
      </c>
      <c r="C106" s="15" t="str">
        <f>C105</f>
        <v>Daň z příjmu právnických osob</v>
      </c>
      <c r="D106" s="40" t="str">
        <f>$D$6</f>
        <v>tis. Kč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</row>
    <row r="107" ht="14.25"/>
    <row r="108" spans="1:16" ht="14.25">
      <c r="A108" s="143" t="s">
        <v>308</v>
      </c>
      <c r="C108" s="15" t="str">
        <f>CONCATENATE(IF(CZ_EN=1,VLOOKUP("Výše požadovaných cen",Slovnik,1,0),VLOOKUP("Výše požadovaných cen",Slovnik,2,0))," (",IF(CZ_EN=1,VLOOKUP("Stálé ceny",Slovnik,1,0),VLOOKUP("Stálé ceny",Slovnik,2,0)),")"," - ",IF(CZ_EN=1,VLOOKUP("bez DPH",Slovnik,1,0),VLOOKUP("bez DPH",Slovnik,2,0)))</f>
        <v>Výše požadovaných cen (Stálé ceny) - bez DPH</v>
      </c>
      <c r="D108" s="40" t="str">
        <f>'Vystupy V'!D56</f>
        <v>Kč/m3</v>
      </c>
      <c r="E108" s="354"/>
      <c r="F108" s="236">
        <v>0</v>
      </c>
      <c r="G108" s="236">
        <v>0</v>
      </c>
      <c r="H108" s="236">
        <v>0</v>
      </c>
      <c r="I108" s="236">
        <v>0</v>
      </c>
      <c r="J108" s="236">
        <v>0</v>
      </c>
      <c r="K108" s="236">
        <v>0</v>
      </c>
      <c r="L108" s="236">
        <v>0</v>
      </c>
      <c r="M108" s="236">
        <v>0</v>
      </c>
      <c r="N108" s="236">
        <v>0</v>
      </c>
      <c r="O108" s="236">
        <v>0</v>
      </c>
      <c r="P108" s="236">
        <v>0</v>
      </c>
    </row>
    <row r="109" spans="6:16" ht="14.25">
      <c r="F109" s="39">
        <f>'Vystupy V'!F46</f>
        <v>0</v>
      </c>
      <c r="G109" s="39">
        <f>'Vystupy V'!G46</f>
        <v>66.29130637636067</v>
      </c>
      <c r="H109" s="39">
        <f>'Vystupy V'!H46</f>
        <v>67.59082426127532</v>
      </c>
      <c r="I109" s="39">
        <f>'Vystupy V'!I46</f>
        <v>69.75668740279941</v>
      </c>
      <c r="J109" s="39">
        <f>'Vystupy V'!J46</f>
        <v>71.92255054432353</v>
      </c>
      <c r="K109" s="39">
        <f>'Vystupy V'!K46</f>
        <v>74.08841368584763</v>
      </c>
      <c r="L109" s="39">
        <f>'Vystupy V'!L46</f>
        <v>74.08841368584763</v>
      </c>
      <c r="M109" s="39">
        <f>'Vystupy V'!M46</f>
        <v>74.08841368584763</v>
      </c>
      <c r="N109" s="39">
        <f>'Vystupy V'!N46</f>
        <v>74.08841368584763</v>
      </c>
      <c r="O109" s="39">
        <f>'Vystupy V'!O46</f>
        <v>74.08841368584763</v>
      </c>
      <c r="P109" s="39">
        <f>'Vystupy V'!P46</f>
        <v>74.08841368584763</v>
      </c>
    </row>
    <row r="110" spans="1:16" ht="14.25">
      <c r="A110" s="143" t="s">
        <v>308</v>
      </c>
      <c r="C110" s="15" t="str">
        <f>IF(CZ_EN=1,VLOOKUP("Vzdát se zisku ve výši:",Slovnik,1,0),VLOOKUP("Vzdát se zisku ve výši:",Slovnik,2,0))</f>
        <v>Vzdát se zisku ve výši:</v>
      </c>
      <c r="D110" s="40" t="str">
        <f>$D$6</f>
        <v>tis. Kč</v>
      </c>
      <c r="E110" s="354"/>
      <c r="F110" s="182">
        <v>0</v>
      </c>
      <c r="G110" s="182">
        <f>'[2]Nabidka dodavatele'!G149</f>
        <v>0</v>
      </c>
      <c r="H110" s="182">
        <f>'[2]Nabidka dodavatele'!H149</f>
        <v>0</v>
      </c>
      <c r="I110" s="182">
        <f>'[2]Nabidka dodavatele'!I149</f>
        <v>0</v>
      </c>
      <c r="J110" s="182">
        <f>'[2]Nabidka dodavatele'!J149</f>
        <v>0</v>
      </c>
      <c r="K110" s="182">
        <f>'[2]Nabidka dodavatele'!K149</f>
        <v>0</v>
      </c>
      <c r="L110" s="182">
        <v>0</v>
      </c>
      <c r="M110" s="182">
        <v>0</v>
      </c>
      <c r="N110" s="182">
        <v>0</v>
      </c>
      <c r="O110" s="182">
        <v>0</v>
      </c>
      <c r="P110" s="182">
        <v>0</v>
      </c>
    </row>
    <row r="111" ht="14.25"/>
    <row r="112" spans="1:16" ht="13.5">
      <c r="A112" s="18"/>
      <c r="B112" s="62" t="s">
        <v>512</v>
      </c>
      <c r="C112" s="62" t="s">
        <v>525</v>
      </c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spans="6:16" ht="13.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3.5">
      <c r="A114" s="143" t="s">
        <v>308</v>
      </c>
      <c r="C114" s="41" t="str">
        <f>IF(CZ_EN=1,VLOOKUP("Hodnota infrastrukturního majetku podle VÚME",Slovnik,1,0),VLOOKUP("Hodnota infrastrukturního majetku podle VÚME",Slovnik,2,0))</f>
        <v>Hodnota infrastrukturního majetku podle VÚME</v>
      </c>
      <c r="D114" s="42" t="str">
        <f>$D$6</f>
        <v>tis. Kč</v>
      </c>
      <c r="E114" s="377"/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</row>
    <row r="115" spans="1:16" ht="13.5">
      <c r="A115" s="143" t="s">
        <v>308</v>
      </c>
      <c r="C115" s="44" t="str">
        <f>IF(CZ_EN=1,VLOOKUP("Pořizovací cena provozního majetku",Slovnik,1,0),VLOOKUP("Pořizovací cena provozního majetku",Slovnik,2,0))</f>
        <v>Pořizovací cena provozního majetku</v>
      </c>
      <c r="D115" s="28" t="str">
        <f>$D$6</f>
        <v>tis. Kč</v>
      </c>
      <c r="E115" s="376"/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76">
        <v>0</v>
      </c>
    </row>
    <row r="116" spans="1:16" ht="13.5">
      <c r="A116" s="143" t="s">
        <v>308</v>
      </c>
      <c r="C116" s="45" t="str">
        <f>IF(CZ_EN=1,VLOOKUP("Počet pracovníků",Slovnik,1,0),VLOOKUP("Počet pracovníků",Slovnik,2,0))</f>
        <v>Počet pracovníků</v>
      </c>
      <c r="D116" s="46" t="s">
        <v>520</v>
      </c>
      <c r="E116" s="378"/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</row>
    <row r="117" ht="13.5"/>
    <row r="118" ht="13.5"/>
    <row r="119" ht="13.5"/>
    <row r="120" ht="13.5"/>
  </sheetData>
  <sheetProtection password="97A7" sheet="1" objects="1" scenarios="1" formatColumns="0" formatRows="0"/>
  <conditionalFormatting sqref="F68:Q68">
    <cfRule type="expression" priority="70" dxfId="5" stopIfTrue="1">
      <formula>F69=1</formula>
    </cfRule>
  </conditionalFormatting>
  <conditionalFormatting sqref="G2:P2 G6:P6 G23:P23 G27:P27 G38:P38 G44:G46 H44:P48 I49:P50 K53:P54 L55:P56 M57:P58 J51:P52 O61:P62 P63:P64 G103:P103 N59:P60">
    <cfRule type="expression" priority="79" dxfId="2" stopIfTrue="1">
      <formula>G$1=1</formula>
    </cfRule>
    <cfRule type="expression" priority="80" dxfId="1" stopIfTrue="1">
      <formula>G$1=2</formula>
    </cfRule>
  </conditionalFormatting>
  <conditionalFormatting sqref="E10">
    <cfRule type="expression" priority="71" dxfId="235" stopIfTrue="1">
      <formula>$E$9=3</formula>
    </cfRule>
    <cfRule type="expression" priority="72" dxfId="235" stopIfTrue="1">
      <formula>$E$9=2</formula>
    </cfRule>
  </conditionalFormatting>
  <conditionalFormatting sqref="A106">
    <cfRule type="expression" priority="77" dxfId="236" stopIfTrue="1">
      <formula>$A$105=1</formula>
    </cfRule>
  </conditionalFormatting>
  <conditionalFormatting sqref="D29">
    <cfRule type="expression" priority="104" dxfId="232" stopIfTrue="1">
      <formula>E29=0</formula>
    </cfRule>
  </conditionalFormatting>
  <conditionalFormatting sqref="F79">
    <cfRule type="expression" priority="106" dxfId="232" stopIfTrue="1">
      <formula>G79=0</formula>
    </cfRule>
  </conditionalFormatting>
  <conditionalFormatting sqref="A101:E101 A99:E99">
    <cfRule type="expression" priority="107" dxfId="236" stopIfTrue="1">
      <formula>opm=2</formula>
    </cfRule>
  </conditionalFormatting>
  <conditionalFormatting sqref="G26:P26">
    <cfRule type="expression" priority="68" dxfId="2" stopIfTrue="1">
      <formula>G$1=1</formula>
    </cfRule>
    <cfRule type="expression" priority="69" dxfId="1" stopIfTrue="1">
      <formula>G$1=2</formula>
    </cfRule>
  </conditionalFormatting>
  <conditionalFormatting sqref="G28:P28">
    <cfRule type="expression" priority="66" dxfId="2" stopIfTrue="1">
      <formula>G$1=1</formula>
    </cfRule>
    <cfRule type="expression" priority="67" dxfId="1" stopIfTrue="1">
      <formula>G$1=2</formula>
    </cfRule>
  </conditionalFormatting>
  <conditionalFormatting sqref="G20:P22">
    <cfRule type="expression" priority="64" dxfId="2" stopIfTrue="1">
      <formula>G$1=1</formula>
    </cfRule>
    <cfRule type="expression" priority="65" dxfId="1" stopIfTrue="1">
      <formula>G$1=2</formula>
    </cfRule>
  </conditionalFormatting>
  <conditionalFormatting sqref="G35:P36">
    <cfRule type="expression" priority="60" dxfId="2" stopIfTrue="1">
      <formula>G$1=1</formula>
    </cfRule>
    <cfRule type="expression" priority="61" dxfId="1" stopIfTrue="1">
      <formula>G$1=2</formula>
    </cfRule>
  </conditionalFormatting>
  <conditionalFormatting sqref="G37:P37">
    <cfRule type="expression" priority="58" dxfId="2" stopIfTrue="1">
      <formula>G$1=1</formula>
    </cfRule>
    <cfRule type="expression" priority="59" dxfId="1" stopIfTrue="1">
      <formula>G$1=2</formula>
    </cfRule>
  </conditionalFormatting>
  <conditionalFormatting sqref="G40:P40">
    <cfRule type="expression" priority="56" dxfId="2" stopIfTrue="1">
      <formula>G$1=1</formula>
    </cfRule>
    <cfRule type="expression" priority="57" dxfId="1" stopIfTrue="1">
      <formula>G$1=2</formula>
    </cfRule>
  </conditionalFormatting>
  <conditionalFormatting sqref="G43:P43">
    <cfRule type="expression" priority="54" dxfId="2" stopIfTrue="1">
      <formula>G$1=1</formula>
    </cfRule>
    <cfRule type="expression" priority="55" dxfId="1" stopIfTrue="1">
      <formula>G$1=2</formula>
    </cfRule>
  </conditionalFormatting>
  <conditionalFormatting sqref="G67:P67">
    <cfRule type="expression" priority="52" dxfId="2" stopIfTrue="1">
      <formula>G$1=1</formula>
    </cfRule>
    <cfRule type="expression" priority="53" dxfId="1" stopIfTrue="1">
      <formula>G$1=2</formula>
    </cfRule>
  </conditionalFormatting>
  <conditionalFormatting sqref="G72:P72">
    <cfRule type="expression" priority="50" dxfId="2" stopIfTrue="1">
      <formula>G$1=1</formula>
    </cfRule>
    <cfRule type="expression" priority="51" dxfId="1" stopIfTrue="1">
      <formula>G$1=2</formula>
    </cfRule>
  </conditionalFormatting>
  <conditionalFormatting sqref="G74:P74">
    <cfRule type="expression" priority="48" dxfId="2" stopIfTrue="1">
      <formula>G$1=1</formula>
    </cfRule>
    <cfRule type="expression" priority="49" dxfId="1" stopIfTrue="1">
      <formula>G$1=2</formula>
    </cfRule>
  </conditionalFormatting>
  <conditionalFormatting sqref="G70:P70">
    <cfRule type="expression" priority="46" dxfId="2" stopIfTrue="1">
      <formula>G$1=1</formula>
    </cfRule>
    <cfRule type="expression" priority="47" dxfId="1" stopIfTrue="1">
      <formula>G$1=2</formula>
    </cfRule>
  </conditionalFormatting>
  <conditionalFormatting sqref="G80:P82">
    <cfRule type="expression" priority="42" dxfId="2" stopIfTrue="1">
      <formula>G$1=1</formula>
    </cfRule>
    <cfRule type="expression" priority="43" dxfId="1" stopIfTrue="1">
      <formula>G$1=2</formula>
    </cfRule>
  </conditionalFormatting>
  <conditionalFormatting sqref="G83:P83">
    <cfRule type="expression" priority="40" dxfId="2" stopIfTrue="1">
      <formula>G$1=1</formula>
    </cfRule>
    <cfRule type="expression" priority="41" dxfId="1" stopIfTrue="1">
      <formula>G$1=2</formula>
    </cfRule>
  </conditionalFormatting>
  <conditionalFormatting sqref="G85:P86">
    <cfRule type="expression" priority="38" dxfId="2" stopIfTrue="1">
      <formula>G$1=1</formula>
    </cfRule>
    <cfRule type="expression" priority="39" dxfId="1" stopIfTrue="1">
      <formula>G$1=2</formula>
    </cfRule>
  </conditionalFormatting>
  <conditionalFormatting sqref="G88:P89">
    <cfRule type="expression" priority="36" dxfId="2" stopIfTrue="1">
      <formula>G$1=1</formula>
    </cfRule>
    <cfRule type="expression" priority="37" dxfId="1" stopIfTrue="1">
      <formula>G$1=2</formula>
    </cfRule>
  </conditionalFormatting>
  <conditionalFormatting sqref="G92:P92">
    <cfRule type="expression" priority="34" dxfId="2" stopIfTrue="1">
      <formula>G$1=1</formula>
    </cfRule>
    <cfRule type="expression" priority="35" dxfId="1" stopIfTrue="1">
      <formula>G$1=2</formula>
    </cfRule>
  </conditionalFormatting>
  <conditionalFormatting sqref="G94:P95">
    <cfRule type="expression" priority="32" dxfId="2" stopIfTrue="1">
      <formula>G$1=1</formula>
    </cfRule>
    <cfRule type="expression" priority="33" dxfId="1" stopIfTrue="1">
      <formula>G$1=2</formula>
    </cfRule>
  </conditionalFormatting>
  <conditionalFormatting sqref="G96:P96">
    <cfRule type="expression" priority="30" dxfId="2" stopIfTrue="1">
      <formula>G$1=1</formula>
    </cfRule>
    <cfRule type="expression" priority="31" dxfId="1" stopIfTrue="1">
      <formula>G$1=2</formula>
    </cfRule>
  </conditionalFormatting>
  <conditionalFormatting sqref="G97:P97">
    <cfRule type="expression" priority="28" dxfId="2" stopIfTrue="1">
      <formula>G$1=1</formula>
    </cfRule>
    <cfRule type="expression" priority="29" dxfId="1" stopIfTrue="1">
      <formula>G$1=2</formula>
    </cfRule>
  </conditionalFormatting>
  <conditionalFormatting sqref="F98:P98">
    <cfRule type="expression" priority="19" dxfId="2" stopIfTrue="1">
      <formula>F$1=1</formula>
    </cfRule>
    <cfRule type="expression" priority="20" dxfId="1" stopIfTrue="1">
      <formula>F$1=2</formula>
    </cfRule>
    <cfRule type="expression" priority="21" dxfId="0" stopIfTrue="1">
      <formula>F$1=0</formula>
    </cfRule>
  </conditionalFormatting>
  <conditionalFormatting sqref="F99">
    <cfRule type="expression" priority="22" dxfId="236" stopIfTrue="1">
      <formula>opm=2</formula>
    </cfRule>
  </conditionalFormatting>
  <conditionalFormatting sqref="G99:P99">
    <cfRule type="expression" priority="23" dxfId="2" stopIfTrue="1">
      <formula>AND(G$1=1,opm=1)</formula>
    </cfRule>
    <cfRule type="expression" priority="24" dxfId="1" stopIfTrue="1">
      <formula>AND(G$1=2,opm=1)</formula>
    </cfRule>
    <cfRule type="expression" priority="25" dxfId="236" stopIfTrue="1">
      <formula>opm=2</formula>
    </cfRule>
  </conditionalFormatting>
  <conditionalFormatting sqref="F100:P100">
    <cfRule type="expression" priority="12" dxfId="2" stopIfTrue="1">
      <formula>F$1=1</formula>
    </cfRule>
    <cfRule type="expression" priority="13" dxfId="1" stopIfTrue="1">
      <formula>F$1=2</formula>
    </cfRule>
    <cfRule type="expression" priority="14" dxfId="0" stopIfTrue="1">
      <formula>F$1=0</formula>
    </cfRule>
  </conditionalFormatting>
  <conditionalFormatting sqref="F101">
    <cfRule type="expression" priority="15" dxfId="236" stopIfTrue="1">
      <formula>opm=2</formula>
    </cfRule>
  </conditionalFormatting>
  <conditionalFormatting sqref="G101:P101">
    <cfRule type="expression" priority="16" dxfId="2" stopIfTrue="1">
      <formula>AND(G$1=1,opm=1)</formula>
    </cfRule>
    <cfRule type="expression" priority="17" dxfId="1" stopIfTrue="1">
      <formula>AND(G$1=2,opm=1)</formula>
    </cfRule>
    <cfRule type="expression" priority="18" dxfId="236" stopIfTrue="1">
      <formula>opm=2</formula>
    </cfRule>
  </conditionalFormatting>
  <conditionalFormatting sqref="G105:P105">
    <cfRule type="expression" priority="9" dxfId="237" stopIfTrue="1">
      <formula>AND(G$1&gt;=0,$A$105=2)</formula>
    </cfRule>
    <cfRule type="expression" priority="10" dxfId="1" stopIfTrue="1">
      <formula>G$1=2</formula>
    </cfRule>
    <cfRule type="expression" priority="11" dxfId="2" stopIfTrue="1">
      <formula>G$1=1</formula>
    </cfRule>
  </conditionalFormatting>
  <conditionalFormatting sqref="E105:F105">
    <cfRule type="expression" priority="7" dxfId="237" stopIfTrue="1">
      <formula>$A$105=2</formula>
    </cfRule>
  </conditionalFormatting>
  <conditionalFormatting sqref="E106:P106">
    <cfRule type="expression" priority="8" dxfId="237" stopIfTrue="1">
      <formula>$A$105=1</formula>
    </cfRule>
  </conditionalFormatting>
  <conditionalFormatting sqref="F110:P110 F108:P108">
    <cfRule type="expression" priority="4" dxfId="2" stopIfTrue="1">
      <formula>F$1=1</formula>
    </cfRule>
    <cfRule type="expression" priority="5" dxfId="1" stopIfTrue="1">
      <formula>F$1=2</formula>
    </cfRule>
    <cfRule type="expression" priority="6" dxfId="0" stopIfTrue="1">
      <formula>F$1=0</formula>
    </cfRule>
  </conditionalFormatting>
  <conditionalFormatting sqref="F114:P116">
    <cfRule type="expression" priority="1" dxfId="2" stopIfTrue="1">
      <formula>F$1=1</formula>
    </cfRule>
    <cfRule type="expression" priority="2" dxfId="1" stopIfTrue="1">
      <formula>F$1=2</formula>
    </cfRule>
    <cfRule type="expression" priority="3" dxfId="0" stopIfTrue="1">
      <formula>F$1=0</formula>
    </cfRule>
  </conditionalFormatting>
  <dataValidations count="2">
    <dataValidation type="decimal" allowBlank="1" showInputMessage="1" showErrorMessage="1" errorTitle="Chybné zadání! - Error!" error="Pouze +/- 1% VaPNaK! - Only +/- 1% of WACC allowed!" sqref="E15">
      <formula1>E14-1%</formula1>
      <formula2>E14+1%</formula2>
    </dataValidation>
    <dataValidation type="whole" allowBlank="1" showInputMessage="1" showErrorMessage="1" errorTitle="Chybné zadání!" error="Odpočet musí být kladný a v max. výši Zisku před zdaněním (Vystupy, ř.32)!" sqref="F110:P110">
      <formula1>0</formula1>
      <formula2>F109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55" r:id="rId3"/>
  <headerFooter alignWithMargins="0">
    <oddFooter>&amp;L&amp;A
&amp;F&amp;C&amp;P celkem &amp;N&amp;R&amp;T
&amp;D</oddFooter>
  </headerFooter>
  <rowBreaks count="1" manualBreakCount="1">
    <brk id="67" max="255" man="1"/>
  </rowBreaks>
  <ignoredErrors>
    <ignoredError sqref="C49:C63 C45 C64 Q45:Q63 Q44 C37" formula="1"/>
    <ignoredError sqref="F105:P105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tabColor indexed="44"/>
  </sheetPr>
  <dimension ref="B1:P8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 zeroHeight="1"/>
  <cols>
    <col min="1" max="1" width="5.140625" style="18" customWidth="1"/>
    <col min="2" max="4" width="20.57421875" style="18" customWidth="1"/>
    <col min="5" max="6" width="9.140625" style="18" customWidth="1"/>
    <col min="7" max="7" width="9.8515625" style="18" bestFit="1" customWidth="1"/>
    <col min="8" max="16" width="9.140625" style="18" customWidth="1"/>
    <col min="17" max="17" width="4.421875" style="18" customWidth="1"/>
    <col min="18" max="18" width="5.57421875" style="18" customWidth="1"/>
    <col min="19" max="16384" width="0" style="18" hidden="1" customWidth="1"/>
  </cols>
  <sheetData>
    <row r="1" spans="7:16" ht="12.75">
      <c r="G1" s="31">
        <f>'Vstupy V'!G1</f>
        <v>1</v>
      </c>
      <c r="H1" s="31">
        <f>'Vstupy V'!H1</f>
        <v>1</v>
      </c>
      <c r="I1" s="31">
        <f>'Vstupy V'!I1</f>
        <v>1</v>
      </c>
      <c r="J1" s="31">
        <f>'Vstupy V'!J1</f>
        <v>1</v>
      </c>
      <c r="K1" s="31">
        <f>'Vstupy V'!K1</f>
        <v>1</v>
      </c>
      <c r="L1" s="31">
        <f>'Vstupy V'!L1</f>
        <v>2</v>
      </c>
      <c r="M1" s="31">
        <f>'Vstupy V'!M1</f>
        <v>2</v>
      </c>
      <c r="N1" s="31">
        <f>'Vstupy V'!N1</f>
        <v>2</v>
      </c>
      <c r="O1" s="31">
        <f>'Vstupy V'!O1</f>
        <v>2</v>
      </c>
      <c r="P1" s="31">
        <f>'Vstupy V'!P1</f>
        <v>2</v>
      </c>
    </row>
    <row r="2" spans="2:16" ht="27.75" customHeight="1">
      <c r="B2" s="2" t="str">
        <f>IF(CZ_EN=1,VLOOKUP("VÝPOČTY PRO VODNÉ",Slovnik,1,0),VLOOKUP("VÝPOČTY PRO VODNÉ",Slovnik,2,0))</f>
        <v>VÝPOČTY PRO VODNÉ</v>
      </c>
      <c r="D2" s="10" t="str">
        <f>'Spolecne vstupy'!C17</f>
        <v>rok</v>
      </c>
      <c r="E2" s="209">
        <f>F2-1</f>
        <v>2020</v>
      </c>
      <c r="F2" s="289">
        <f>current</f>
        <v>2021</v>
      </c>
      <c r="G2" s="134">
        <f>F2+1</f>
        <v>2022</v>
      </c>
      <c r="H2" s="134">
        <f aca="true" t="shared" si="0" ref="H2:P2">G2+1</f>
        <v>2023</v>
      </c>
      <c r="I2" s="134">
        <f t="shared" si="0"/>
        <v>2024</v>
      </c>
      <c r="J2" s="134">
        <f t="shared" si="0"/>
        <v>2025</v>
      </c>
      <c r="K2" s="134">
        <f t="shared" si="0"/>
        <v>2026</v>
      </c>
      <c r="L2" s="134">
        <f t="shared" si="0"/>
        <v>2027</v>
      </c>
      <c r="M2" s="134">
        <f t="shared" si="0"/>
        <v>2028</v>
      </c>
      <c r="N2" s="134">
        <f t="shared" si="0"/>
        <v>2029</v>
      </c>
      <c r="O2" s="134">
        <f t="shared" si="0"/>
        <v>2030</v>
      </c>
      <c r="P2" s="134">
        <f t="shared" si="0"/>
        <v>2031</v>
      </c>
    </row>
    <row r="3" spans="2:16" ht="12.75">
      <c r="B3" s="24" t="str">
        <f>CONCATENATE(IF(CZ_EN=1,VLOOKUP("Provozní majetek",Slovnik,1,0),VLOOKUP("Provozní majetek",Slovnik,2,0))," ",IF(CZ_EN=1,VLOOKUP("(za celou společnost)",Slovnik,1,0),VLOOKUP("(za celou společnost)",Slovnik,2,0)))</f>
        <v>Provozní majetek (za celou společnost)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 ht="12">
      <c r="B4" s="41" t="str">
        <f>IF(CZ_EN=1,VLOOKUP("Počáteční hodnota",Slovnik,1,0),VLOOKUP("Počáteční hodnota",Slovnik,2,0))</f>
        <v>Počáteční hodnota</v>
      </c>
      <c r="C4" s="41"/>
      <c r="D4" s="41"/>
      <c r="E4" s="51"/>
      <c r="F4" s="51">
        <f>E9</f>
        <v>0</v>
      </c>
      <c r="G4" s="51">
        <f aca="true" t="shared" si="1" ref="G4:P4">F9</f>
        <v>0</v>
      </c>
      <c r="H4" s="51">
        <f t="shared" si="1"/>
        <v>0</v>
      </c>
      <c r="I4" s="51">
        <f t="shared" si="1"/>
        <v>0</v>
      </c>
      <c r="J4" s="51">
        <f t="shared" si="1"/>
        <v>0</v>
      </c>
      <c r="K4" s="51">
        <f t="shared" si="1"/>
        <v>0</v>
      </c>
      <c r="L4" s="51">
        <f t="shared" si="1"/>
        <v>0</v>
      </c>
      <c r="M4" s="51">
        <f t="shared" si="1"/>
        <v>0</v>
      </c>
      <c r="N4" s="51">
        <f t="shared" si="1"/>
        <v>0</v>
      </c>
      <c r="O4" s="51">
        <f t="shared" si="1"/>
        <v>0</v>
      </c>
      <c r="P4" s="51">
        <f t="shared" si="1"/>
        <v>0</v>
      </c>
    </row>
    <row r="5" spans="2:16" ht="12">
      <c r="B5" s="44" t="str">
        <f>IF(CZ_EN=1,VLOOKUP("Odpisy",Slovnik,1,0),VLOOKUP("Odpisy",Slovnik,2,0))</f>
        <v>Odpisy</v>
      </c>
      <c r="C5" s="44"/>
      <c r="D5" s="44"/>
      <c r="E5" s="53">
        <f>'Spolecne vstupy'!E29</f>
        <v>0</v>
      </c>
      <c r="F5" s="53">
        <f>'Spolecne vstupy'!F29</f>
        <v>0</v>
      </c>
      <c r="G5" s="53">
        <f>'Spolecne vstupy'!G29</f>
        <v>0</v>
      </c>
      <c r="H5" s="53">
        <f>'Spolecne vstupy'!H29</f>
        <v>0</v>
      </c>
      <c r="I5" s="53">
        <f>'Spolecne vstupy'!I29</f>
        <v>0</v>
      </c>
      <c r="J5" s="53">
        <f>'Spolecne vstupy'!J29</f>
        <v>0</v>
      </c>
      <c r="K5" s="53">
        <f>'Spolecne vstupy'!K29</f>
        <v>0</v>
      </c>
      <c r="L5" s="53">
        <f>'Spolecne vstupy'!L29</f>
        <v>0</v>
      </c>
      <c r="M5" s="53">
        <f>'Spolecne vstupy'!M29</f>
        <v>0</v>
      </c>
      <c r="N5" s="53">
        <f>'Spolecne vstupy'!N29</f>
        <v>0</v>
      </c>
      <c r="O5" s="53">
        <f>'Spolecne vstupy'!O29</f>
        <v>0</v>
      </c>
      <c r="P5" s="53">
        <f>'Spolecne vstupy'!P29</f>
        <v>0</v>
      </c>
    </row>
    <row r="6" spans="2:16" ht="12">
      <c r="B6" s="44" t="str">
        <f>IF(CZ_EN=1,VLOOKUP("Odprodej",Slovnik,1,0),VLOOKUP("Odprodej",Slovnik,2,0))</f>
        <v>Odprodej</v>
      </c>
      <c r="C6" s="44"/>
      <c r="D6" s="44"/>
      <c r="E6" s="53">
        <f>'Spolecne vstupy'!E59</f>
        <v>0</v>
      </c>
      <c r="F6" s="53">
        <f>'Spolecne vstupy'!F59</f>
        <v>0</v>
      </c>
      <c r="G6" s="53">
        <f>'Spolecne vstupy'!G59</f>
        <v>0</v>
      </c>
      <c r="H6" s="53">
        <f>'Spolecne vstupy'!H59</f>
        <v>0</v>
      </c>
      <c r="I6" s="53">
        <f>'Spolecne vstupy'!I59</f>
        <v>0</v>
      </c>
      <c r="J6" s="53">
        <f>'Spolecne vstupy'!J59</f>
        <v>0</v>
      </c>
      <c r="K6" s="53">
        <f>'Spolecne vstupy'!K59</f>
        <v>0</v>
      </c>
      <c r="L6" s="53">
        <f>'Spolecne vstupy'!L59</f>
        <v>0</v>
      </c>
      <c r="M6" s="53">
        <f>'Spolecne vstupy'!M59</f>
        <v>0</v>
      </c>
      <c r="N6" s="53">
        <f>'Spolecne vstupy'!N59</f>
        <v>0</v>
      </c>
      <c r="O6" s="53">
        <f>'Spolecne vstupy'!O59</f>
        <v>0</v>
      </c>
      <c r="P6" s="53">
        <f>'Spolecne vstupy'!P59</f>
        <v>0</v>
      </c>
    </row>
    <row r="7" spans="2:16" ht="12">
      <c r="B7" s="44" t="str">
        <f>IF(CZ_EN=1,VLOOKUP("Investice",Slovnik,1,0),VLOOKUP("Investice",Slovnik,2,0))</f>
        <v>Investice</v>
      </c>
      <c r="C7" s="44"/>
      <c r="D7" s="44"/>
      <c r="E7" s="53">
        <f>'Spolecne vstupy'!E32</f>
        <v>0</v>
      </c>
      <c r="F7" s="53">
        <f>'Spolecne vstupy'!F32</f>
        <v>0</v>
      </c>
      <c r="G7" s="53">
        <f>'Spolecne vstupy'!G32</f>
        <v>0</v>
      </c>
      <c r="H7" s="53">
        <f>'Spolecne vstupy'!H32</f>
        <v>0</v>
      </c>
      <c r="I7" s="53">
        <f>'Spolecne vstupy'!I32</f>
        <v>0</v>
      </c>
      <c r="J7" s="53">
        <f>'Spolecne vstupy'!J32</f>
        <v>0</v>
      </c>
      <c r="K7" s="53">
        <f>'Spolecne vstupy'!K32</f>
        <v>0</v>
      </c>
      <c r="L7" s="53">
        <f>'Spolecne vstupy'!L32</f>
        <v>0</v>
      </c>
      <c r="M7" s="53">
        <f>'Spolecne vstupy'!M32</f>
        <v>0</v>
      </c>
      <c r="N7" s="53">
        <f>'Spolecne vstupy'!N32</f>
        <v>0</v>
      </c>
      <c r="O7" s="53">
        <f>'Spolecne vstupy'!O32</f>
        <v>0</v>
      </c>
      <c r="P7" s="53">
        <f>'Spolecne vstupy'!P32</f>
        <v>0</v>
      </c>
    </row>
    <row r="8" spans="2:16" ht="12">
      <c r="B8" s="44" t="str">
        <f>IF(CZ_EN=1,VLOOKUP("Odpisy investic",Slovnik,1,0),VLOOKUP("Odpisy investic",Slovnik,2,0))</f>
        <v>Odpisy investic</v>
      </c>
      <c r="C8" s="44"/>
      <c r="D8" s="44"/>
      <c r="E8" s="44">
        <v>0</v>
      </c>
      <c r="F8" s="53">
        <f>'Spolecne vstupy'!F57</f>
        <v>0</v>
      </c>
      <c r="G8" s="53">
        <f>'Spolecne vstupy'!G57</f>
        <v>0</v>
      </c>
      <c r="H8" s="53">
        <f>'Spolecne vstupy'!H57</f>
        <v>0</v>
      </c>
      <c r="I8" s="53">
        <f>'Spolecne vstupy'!I57</f>
        <v>0</v>
      </c>
      <c r="J8" s="53">
        <f>'Spolecne vstupy'!J57</f>
        <v>0</v>
      </c>
      <c r="K8" s="53">
        <f>'Spolecne vstupy'!K57</f>
        <v>0</v>
      </c>
      <c r="L8" s="53">
        <f>'Spolecne vstupy'!L57</f>
        <v>0</v>
      </c>
      <c r="M8" s="53">
        <f>'Spolecne vstupy'!M57</f>
        <v>0</v>
      </c>
      <c r="N8" s="53">
        <f>'Spolecne vstupy'!N57</f>
        <v>0</v>
      </c>
      <c r="O8" s="53">
        <f>'Spolecne vstupy'!O57</f>
        <v>0</v>
      </c>
      <c r="P8" s="53">
        <f>'Spolecne vstupy'!P57</f>
        <v>0</v>
      </c>
    </row>
    <row r="9" spans="2:16" ht="12">
      <c r="B9" s="44" t="str">
        <f>IF(CZ_EN=1,VLOOKUP("Konečná hodnota",Slovnik,1,0),VLOOKUP("Konečná hodnota",Slovnik,2,0))</f>
        <v>Konečná hodnota</v>
      </c>
      <c r="C9" s="44"/>
      <c r="D9" s="44"/>
      <c r="E9" s="53">
        <f>'Spolecne vstupy'!E25</f>
        <v>0</v>
      </c>
      <c r="F9" s="53">
        <f aca="true" t="shared" si="2" ref="F9:P9">F4-F5-F6+F7-F8</f>
        <v>0</v>
      </c>
      <c r="G9" s="53">
        <f t="shared" si="2"/>
        <v>0</v>
      </c>
      <c r="H9" s="53">
        <f t="shared" si="2"/>
        <v>0</v>
      </c>
      <c r="I9" s="53">
        <f t="shared" si="2"/>
        <v>0</v>
      </c>
      <c r="J9" s="53">
        <f t="shared" si="2"/>
        <v>0</v>
      </c>
      <c r="K9" s="53">
        <f t="shared" si="2"/>
        <v>0</v>
      </c>
      <c r="L9" s="53">
        <f t="shared" si="2"/>
        <v>0</v>
      </c>
      <c r="M9" s="53">
        <f t="shared" si="2"/>
        <v>0</v>
      </c>
      <c r="N9" s="53">
        <f t="shared" si="2"/>
        <v>0</v>
      </c>
      <c r="O9" s="53">
        <f t="shared" si="2"/>
        <v>0</v>
      </c>
      <c r="P9" s="53">
        <f t="shared" si="2"/>
        <v>0</v>
      </c>
    </row>
    <row r="10" spans="2:16" ht="12">
      <c r="B10" s="15" t="str">
        <f>IF(CZ_EN=1,VLOOKUP("Přidělení provozního majetku na danou službu",Slovnik,1,0),VLOOKUP("Přidělení provozního majetku na danou službu",Slovnik,2,0))</f>
        <v>Přidělení provozního majetku na danou službu</v>
      </c>
      <c r="C10" s="15"/>
      <c r="D10" s="15"/>
      <c r="E10" s="115">
        <f>E9*'Vstupy V'!E70</f>
        <v>0</v>
      </c>
      <c r="F10" s="115">
        <f>F9*'Vstupy V'!F70</f>
        <v>0</v>
      </c>
      <c r="G10" s="115">
        <f>G9*'Vstupy V'!G70</f>
        <v>0</v>
      </c>
      <c r="H10" s="115">
        <f>H9*'Vstupy V'!H70</f>
        <v>0</v>
      </c>
      <c r="I10" s="115">
        <f>I9*'Vstupy V'!I70</f>
        <v>0</v>
      </c>
      <c r="J10" s="115">
        <f>J9*'Vstupy V'!J70</f>
        <v>0</v>
      </c>
      <c r="K10" s="115">
        <f>K9*'Vstupy V'!K70</f>
        <v>0</v>
      </c>
      <c r="L10" s="115">
        <f>L9*'Vstupy V'!L70</f>
        <v>0</v>
      </c>
      <c r="M10" s="115">
        <f>M9*'Vstupy V'!M70</f>
        <v>0</v>
      </c>
      <c r="N10" s="115">
        <f>N9*'Vstupy V'!N70</f>
        <v>0</v>
      </c>
      <c r="O10" s="115">
        <f>O9*'Vstupy V'!O70</f>
        <v>0</v>
      </c>
      <c r="P10" s="115">
        <f>P9*'Vstupy V'!P70</f>
        <v>0</v>
      </c>
    </row>
    <row r="11" spans="5:16" ht="12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ht="12.75">
      <c r="B12" s="24" t="str">
        <f>IF(CZ_EN=1,VLOOKUP("Přidělený provozní NEBO infrastrukturní majetek",Slovnik,1,0),VLOOKUP("Přidělený provozní NEBO infrastrukturní majetek",Slovnik,2,0))</f>
        <v>Přidělený provozní NEBO infrastrukturní majetek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ht="12">
      <c r="B13" s="41" t="str">
        <f>IF(CZ_EN=1,VLOOKUP("Počáteční hodnota",Slovnik,1,0),VLOOKUP("Počáteční hodnota",Slovnik,2,0))</f>
        <v>Počáteční hodnota</v>
      </c>
      <c r="C13" s="41"/>
      <c r="D13" s="41"/>
      <c r="E13" s="51"/>
      <c r="F13" s="51">
        <f>E18</f>
        <v>0</v>
      </c>
      <c r="G13" s="51">
        <f aca="true" t="shared" si="3" ref="G13:P13">F18</f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</row>
    <row r="14" spans="2:16" ht="12">
      <c r="B14" s="44" t="str">
        <f>IF(CZ_EN=1,VLOOKUP("Odpisy",Slovnik,1,0),VLOOKUP("Odpisy",Slovnik,2,0))</f>
        <v>Odpisy</v>
      </c>
      <c r="C14" s="44"/>
      <c r="D14" s="44"/>
      <c r="E14" s="53">
        <f>'Vstupy V'!E37</f>
        <v>0</v>
      </c>
      <c r="F14" s="53">
        <f>'Vstupy V'!F37</f>
        <v>0</v>
      </c>
      <c r="G14" s="53">
        <f>'Vstupy V'!G37</f>
        <v>0</v>
      </c>
      <c r="H14" s="53">
        <f>'Vstupy V'!H37</f>
        <v>0</v>
      </c>
      <c r="I14" s="53">
        <f>'Vstupy V'!I37</f>
        <v>0</v>
      </c>
      <c r="J14" s="53">
        <f>'Vstupy V'!J37</f>
        <v>0</v>
      </c>
      <c r="K14" s="53">
        <f>'Vstupy V'!K37</f>
        <v>0</v>
      </c>
      <c r="L14" s="53">
        <f>'Vstupy V'!L37</f>
        <v>0</v>
      </c>
      <c r="M14" s="53">
        <f>'Vstupy V'!M37</f>
        <v>0</v>
      </c>
      <c r="N14" s="53">
        <f>'Vstupy V'!N37</f>
        <v>0</v>
      </c>
      <c r="O14" s="53">
        <f>'Vstupy V'!O37</f>
        <v>0</v>
      </c>
      <c r="P14" s="53">
        <f>'Vstupy V'!P37</f>
        <v>0</v>
      </c>
    </row>
    <row r="15" spans="2:16" ht="12">
      <c r="B15" s="44" t="str">
        <f>IF(CZ_EN=1,VLOOKUP("Odprodej",Slovnik,1,0),VLOOKUP("Odprodej",Slovnik,2,0))</f>
        <v>Odprodej</v>
      </c>
      <c r="C15" s="44"/>
      <c r="D15" s="44"/>
      <c r="E15" s="53">
        <f>'Vstupy V'!E67</f>
        <v>0</v>
      </c>
      <c r="F15" s="53">
        <f>'Vstupy V'!F67</f>
        <v>0</v>
      </c>
      <c r="G15" s="53">
        <f>'Vstupy V'!G67</f>
        <v>0</v>
      </c>
      <c r="H15" s="53">
        <f>'Vstupy V'!H67</f>
        <v>0</v>
      </c>
      <c r="I15" s="53">
        <f>'Vstupy V'!I67</f>
        <v>0</v>
      </c>
      <c r="J15" s="53">
        <f>'Vstupy V'!J67</f>
        <v>0</v>
      </c>
      <c r="K15" s="53">
        <f>'Vstupy V'!K67</f>
        <v>0</v>
      </c>
      <c r="L15" s="53">
        <f>'Vstupy V'!L67</f>
        <v>0</v>
      </c>
      <c r="M15" s="53">
        <f>'Vstupy V'!M67</f>
        <v>0</v>
      </c>
      <c r="N15" s="53">
        <f>'Vstupy V'!N67</f>
        <v>0</v>
      </c>
      <c r="O15" s="53">
        <f>'Vstupy V'!O67</f>
        <v>0</v>
      </c>
      <c r="P15" s="53">
        <f>'Vstupy V'!P67</f>
        <v>0</v>
      </c>
    </row>
    <row r="16" spans="2:16" ht="12">
      <c r="B16" s="44" t="str">
        <f>IF(CZ_EN=1,VLOOKUP("Investice",Slovnik,1,0),VLOOKUP("Investice",Slovnik,2,0))</f>
        <v>Investice</v>
      </c>
      <c r="C16" s="44"/>
      <c r="D16" s="44"/>
      <c r="E16" s="53">
        <f>'Vstupy V'!E40</f>
        <v>0</v>
      </c>
      <c r="F16" s="53">
        <f>'Vstupy V'!F40</f>
        <v>0</v>
      </c>
      <c r="G16" s="53">
        <f>'Vstupy V'!G40</f>
        <v>0</v>
      </c>
      <c r="H16" s="53">
        <f>'Vstupy V'!H40</f>
        <v>0</v>
      </c>
      <c r="I16" s="53">
        <f>'Vstupy V'!I40</f>
        <v>0</v>
      </c>
      <c r="J16" s="53">
        <f>'Vstupy V'!J40</f>
        <v>0</v>
      </c>
      <c r="K16" s="53">
        <f>'Vstupy V'!K40</f>
        <v>0</v>
      </c>
      <c r="L16" s="53">
        <f>'Vstupy V'!L40</f>
        <v>0</v>
      </c>
      <c r="M16" s="53">
        <f>'Vstupy V'!M40</f>
        <v>0</v>
      </c>
      <c r="N16" s="53">
        <f>'Vstupy V'!N40</f>
        <v>0</v>
      </c>
      <c r="O16" s="53">
        <f>'Vstupy V'!O40</f>
        <v>0</v>
      </c>
      <c r="P16" s="53">
        <f>'Vstupy V'!P40</f>
        <v>0</v>
      </c>
    </row>
    <row r="17" spans="2:16" ht="12">
      <c r="B17" s="44" t="str">
        <f>IF(CZ_EN=1,VLOOKUP("Odpisy investic",Slovnik,1,0),VLOOKUP("Odpisy investic",Slovnik,2,0))</f>
        <v>Odpisy investic</v>
      </c>
      <c r="C17" s="44"/>
      <c r="D17" s="44"/>
      <c r="E17" s="44">
        <v>0</v>
      </c>
      <c r="F17" s="53">
        <f>'Vstupy V'!F65</f>
        <v>0</v>
      </c>
      <c r="G17" s="53">
        <f>'Vstupy V'!G65</f>
        <v>0</v>
      </c>
      <c r="H17" s="53">
        <f>'Vstupy V'!H65</f>
        <v>0</v>
      </c>
      <c r="I17" s="53">
        <f>'Vstupy V'!I65</f>
        <v>0</v>
      </c>
      <c r="J17" s="53">
        <f>'Vstupy V'!J65</f>
        <v>0</v>
      </c>
      <c r="K17" s="53">
        <f>'Vstupy V'!K65</f>
        <v>0</v>
      </c>
      <c r="L17" s="53">
        <f>'Vstupy V'!L65</f>
        <v>0</v>
      </c>
      <c r="M17" s="53">
        <f>'Vstupy V'!M65</f>
        <v>0</v>
      </c>
      <c r="N17" s="53">
        <f>'Vstupy V'!N65</f>
        <v>0</v>
      </c>
      <c r="O17" s="53">
        <f>'Vstupy V'!O65</f>
        <v>0</v>
      </c>
      <c r="P17" s="53">
        <f>'Vstupy V'!P65</f>
        <v>0</v>
      </c>
    </row>
    <row r="18" spans="2:16" ht="12">
      <c r="B18" s="45" t="str">
        <f>IF(CZ_EN=1,VLOOKUP("Konečná hodnota",Slovnik,1,0),VLOOKUP("Konečná hodnota",Slovnik,2,0))</f>
        <v>Konečná hodnota</v>
      </c>
      <c r="C18" s="45"/>
      <c r="D18" s="45"/>
      <c r="E18" s="54">
        <f>'Vstupy V'!E33</f>
        <v>0</v>
      </c>
      <c r="F18" s="54">
        <f aca="true" t="shared" si="4" ref="F18:P18">F13-F14-F15+F16-F17</f>
        <v>0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54">
        <f t="shared" si="4"/>
        <v>0</v>
      </c>
      <c r="K18" s="54">
        <f t="shared" si="4"/>
        <v>0</v>
      </c>
      <c r="L18" s="54">
        <f t="shared" si="4"/>
        <v>0</v>
      </c>
      <c r="M18" s="54">
        <f t="shared" si="4"/>
        <v>0</v>
      </c>
      <c r="N18" s="54">
        <f t="shared" si="4"/>
        <v>0</v>
      </c>
      <c r="O18" s="54">
        <f t="shared" si="4"/>
        <v>0</v>
      </c>
      <c r="P18" s="54">
        <f t="shared" si="4"/>
        <v>0</v>
      </c>
    </row>
    <row r="19" spans="5:16" ht="12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12.75">
      <c r="B20" s="24" t="str">
        <f>IF(CZ_EN=1,VLOOKUP("Pracovní kapitál do budoucna",Slovnik,1,0),VLOOKUP("Pracovní kapitál do budoucna",Slovnik,2,0))</f>
        <v>Pracovní kapitál do budoucna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12">
      <c r="B21" s="41" t="str">
        <f>IF(CZ_EN=1,VLOOKUP("Úprava Pož. příjmu o PK",Slovnik,1,0),VLOOKUP("Úprava Pož. příjmu o PK",Slovnik,2,0))</f>
        <v>Úprava Pož. příjmu o PK</v>
      </c>
      <c r="C21" s="41"/>
      <c r="D21" s="232">
        <v>1</v>
      </c>
      <c r="E21" s="51">
        <f>IF($D$21=1,'Vystupy V'!E40/(1-'Spolecne vstupy'!$C$11/365*waccDW/(1-rate)),'Vystupy V'!E40/(1-'Spolecne vstupy'!$C$11/365*waccDW))</f>
        <v>0</v>
      </c>
      <c r="F21" s="51">
        <f>IF($D$21=1,'Vystupy V'!F40/(1-'Spolecne vstupy'!$C$11/365*waccDW/(1-rate)),'Vystupy V'!F40/(1-'Spolecne vstupy'!$C$11/365*waccDW))</f>
        <v>0</v>
      </c>
      <c r="G21" s="51">
        <f>IF($D$21=1,'Vystupy V'!G40/(1-'Spolecne vstupy'!$C$11/365*waccDW/(1-rate)),'Vystupy V'!G40/(1-'Spolecne vstupy'!$C$11/365*waccDW))</f>
        <v>3505.291306376361</v>
      </c>
      <c r="H21" s="51">
        <f>IF($D$21=1,'Vystupy V'!H40/(1-'Spolecne vstupy'!$C$11/365*waccDW/(1-rate)),'Vystupy V'!H40/(1-'Spolecne vstupy'!$C$11/365*waccDW))</f>
        <v>3575.5908242612754</v>
      </c>
      <c r="I21" s="51">
        <f>IF($D$21=1,'Vystupy V'!I40/(1-'Spolecne vstupy'!$C$11/365*waccDW/(1-rate)),'Vystupy V'!I40/(1-'Spolecne vstupy'!$C$11/365*waccDW))</f>
        <v>3692.7566874027993</v>
      </c>
      <c r="J21" s="51">
        <f>IF($D$21=1,'Vystupy V'!J40/(1-'Spolecne vstupy'!$C$11/365*waccDW/(1-rate)),'Vystupy V'!J40/(1-'Spolecne vstupy'!$C$11/365*waccDW))</f>
        <v>3809.9225505443237</v>
      </c>
      <c r="K21" s="51">
        <f>IF($D$21=1,'Vystupy V'!K40/(1-'Spolecne vstupy'!$C$11/365*waccDW/(1-rate)),'Vystupy V'!K40/(1-'Spolecne vstupy'!$C$11/365*waccDW))</f>
        <v>3927.0884136858476</v>
      </c>
      <c r="L21" s="51">
        <f>IF($D$21=1,'Vystupy V'!L40/(1-'Spolecne vstupy'!$C$11/365*waccDW/(1-rate)),'Vystupy V'!L40/(1-'Spolecne vstupy'!$C$11/365*waccDW))</f>
        <v>3927.0884136858476</v>
      </c>
      <c r="M21" s="51">
        <f>IF($D$21=1,'Vystupy V'!M40/(1-'Spolecne vstupy'!$C$11/365*waccDW/(1-rate)),'Vystupy V'!M40/(1-'Spolecne vstupy'!$C$11/365*waccDW))</f>
        <v>3927.0884136858476</v>
      </c>
      <c r="N21" s="51">
        <f>IF($D$21=1,'Vystupy V'!N40/(1-'Spolecne vstupy'!$C$11/365*waccDW/(1-rate)),'Vystupy V'!N40/(1-'Spolecne vstupy'!$C$11/365*waccDW))</f>
        <v>3927.0884136858476</v>
      </c>
      <c r="O21" s="51">
        <f>IF($D$21=1,'Vystupy V'!O40/(1-'Spolecne vstupy'!$C$11/365*waccDW/(1-rate)),'Vystupy V'!O40/(1-'Spolecne vstupy'!$C$11/365*waccDW))</f>
        <v>3927.0884136858476</v>
      </c>
      <c r="P21" s="51">
        <f>IF($D$21=1,'Vystupy V'!P40/(1-'Spolecne vstupy'!$C$11/365*waccDW/(1-rate)),'Vystupy V'!P40/(1-'Spolecne vstupy'!$C$11/365*waccDW))</f>
        <v>3927.0884136858476</v>
      </c>
    </row>
    <row r="22" spans="2:16" ht="12">
      <c r="B22" s="44" t="str">
        <f>IF(CZ_EN=1,VLOOKUP("Odhad provozních nákladů pro danou službu",Slovnik,1,0),VLOOKUP("Odhad provozních nákladů pro danou službu",Slovnik,2,0))</f>
        <v>Odhad provozních nákladů pro danou službu</v>
      </c>
      <c r="C22" s="44"/>
      <c r="D22" s="44"/>
      <c r="E22" s="53">
        <f>'Vstupy V'!E103</f>
        <v>0</v>
      </c>
      <c r="F22" s="53">
        <f>'Vstupy V'!F103</f>
        <v>0</v>
      </c>
      <c r="G22" s="53">
        <f>'Vstupy V'!G103</f>
        <v>2921</v>
      </c>
      <c r="H22" s="53">
        <f>'Vstupy V'!H103</f>
        <v>2990</v>
      </c>
      <c r="I22" s="53">
        <f>'Vstupy V'!I103</f>
        <v>3105</v>
      </c>
      <c r="J22" s="53">
        <f>'Vstupy V'!J103</f>
        <v>3220</v>
      </c>
      <c r="K22" s="53">
        <f>'Vstupy V'!K103</f>
        <v>3335</v>
      </c>
      <c r="L22" s="53">
        <f>'Vstupy V'!L103</f>
        <v>3335</v>
      </c>
      <c r="M22" s="53">
        <f>'Vstupy V'!M103</f>
        <v>3335</v>
      </c>
      <c r="N22" s="53">
        <f>'Vstupy V'!N103</f>
        <v>3335</v>
      </c>
      <c r="O22" s="53">
        <f>'Vstupy V'!O103</f>
        <v>3335</v>
      </c>
      <c r="P22" s="53">
        <f>'Vstupy V'!P103</f>
        <v>3335</v>
      </c>
    </row>
    <row r="23" spans="2:16" ht="12">
      <c r="B23" s="45" t="str">
        <f>IF(CZ_EN=1,VLOOKUP("Zásoby vztahující se k dané službě",Slovnik,1,0),VLOOKUP("Zásoby vztahující se k dané službě",Slovnik,2,0))</f>
        <v>Zásoby vztahující se k dané službě</v>
      </c>
      <c r="C23" s="45"/>
      <c r="D23" s="45"/>
      <c r="E23" s="54">
        <f>'Vstupy V'!E72</f>
        <v>0</v>
      </c>
      <c r="F23" s="54">
        <f>'Vstupy V'!F72</f>
        <v>0</v>
      </c>
      <c r="G23" s="54">
        <f>'Vstupy V'!G72</f>
        <v>0</v>
      </c>
      <c r="H23" s="54">
        <f>'Vstupy V'!H72</f>
        <v>0</v>
      </c>
      <c r="I23" s="54">
        <f>'Vstupy V'!I72</f>
        <v>0</v>
      </c>
      <c r="J23" s="54">
        <f>'Vstupy V'!J72</f>
        <v>0</v>
      </c>
      <c r="K23" s="54">
        <f>'Vstupy V'!K72</f>
        <v>0</v>
      </c>
      <c r="L23" s="54">
        <f>'Vstupy V'!L72</f>
        <v>0</v>
      </c>
      <c r="M23" s="54">
        <f>'Vstupy V'!M72</f>
        <v>0</v>
      </c>
      <c r="N23" s="54">
        <f>'Vstupy V'!N72</f>
        <v>0</v>
      </c>
      <c r="O23" s="54">
        <f>'Vstupy V'!O72</f>
        <v>0</v>
      </c>
      <c r="P23" s="54">
        <f>'Vstupy V'!P72</f>
        <v>0</v>
      </c>
    </row>
    <row r="24" spans="2:16" ht="12">
      <c r="B24" s="15" t="str">
        <f>IF(CZ_EN=1,VLOOKUP("Částečná potřeba Pracovního kapitálu",Slovnik,1,0),VLOOKUP("Částečná potřeba Pracovního kapitálu",Slovnik,2,0))</f>
        <v>Částečná potřeba Pracovního kapitálu</v>
      </c>
      <c r="C24" s="15"/>
      <c r="D24" s="15"/>
      <c r="E24" s="115">
        <f>-E22*'Spolecne vstupy'!$C$12/365+E23</f>
        <v>0</v>
      </c>
      <c r="F24" s="115">
        <f>-F22*'Spolecne vstupy'!$C$12/365+F23</f>
        <v>0</v>
      </c>
      <c r="G24" s="115">
        <f>-G22*'Spolecne vstupy'!$C$12/365+G23</f>
        <v>-120.04109589041096</v>
      </c>
      <c r="H24" s="115">
        <f>-H22*'Spolecne vstupy'!$C$12/365+H23</f>
        <v>-122.87671232876713</v>
      </c>
      <c r="I24" s="115">
        <f>-I22*'Spolecne vstupy'!$C$12/365+I23</f>
        <v>-127.6027397260274</v>
      </c>
      <c r="J24" s="115">
        <f>-J22*'Spolecne vstupy'!$C$12/365+J23</f>
        <v>-132.32876712328766</v>
      </c>
      <c r="K24" s="115">
        <f>-K22*'Spolecne vstupy'!$C$12/365+K23</f>
        <v>-137.05479452054794</v>
      </c>
      <c r="L24" s="115">
        <f>-L22*'Spolecne vstupy'!$C$12/365+L23</f>
        <v>-137.05479452054794</v>
      </c>
      <c r="M24" s="115">
        <f>-M22*'Spolecne vstupy'!$C$12/365+M23</f>
        <v>-137.05479452054794</v>
      </c>
      <c r="N24" s="115">
        <f>-N22*'Spolecne vstupy'!$C$12/365+N23</f>
        <v>-137.05479452054794</v>
      </c>
      <c r="O24" s="115">
        <f>-O22*'Spolecne vstupy'!$C$12/365+O23</f>
        <v>-137.05479452054794</v>
      </c>
      <c r="P24" s="115">
        <f>-P22*'Spolecne vstupy'!$C$12/365+P23</f>
        <v>-137.05479452054794</v>
      </c>
    </row>
    <row r="25" spans="5:16" ht="12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12.75">
      <c r="B26" s="24" t="str">
        <f>IF(CZ_EN=1,VLOOKUP("Odpisy",Slovnik,1,0),VLOOKUP("Odpisy",Slovnik,2,0))</f>
        <v>Odpisy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</row>
    <row r="27" spans="2:16" ht="12">
      <c r="B27" s="41" t="str">
        <f>IF(CZ_EN=1,VLOOKUP("Provozní - účetní odpisy v reálných cenách",Slovnik,1,0),VLOOKUP("Provozní - účetní odpisy v reálných cenách",Slovnik,2,0))</f>
        <v>Provozní - účetní odpisy v reálných cenách</v>
      </c>
      <c r="C27" s="41"/>
      <c r="D27" s="41"/>
      <c r="E27" s="51">
        <f>'Vstupy V'!E70*('Spolecne vstupy'!E27/'Spolecne vstupy'!E19+E69)</f>
        <v>0</v>
      </c>
      <c r="F27" s="51">
        <f>'Vstupy V'!F70*('Spolecne vstupy'!F27/'Spolecne vstupy'!F19+F69)</f>
        <v>0</v>
      </c>
      <c r="G27" s="51">
        <f>'Vstupy V'!G70*('Spolecne vstupy'!G27/'Spolecne vstupy'!G19+G69)</f>
        <v>0</v>
      </c>
      <c r="H27" s="51">
        <f>'Vstupy V'!H70*('Spolecne vstupy'!H27/'Spolecne vstupy'!H19+H69)</f>
        <v>0</v>
      </c>
      <c r="I27" s="51">
        <f>'Vstupy V'!I70*('Spolecne vstupy'!I27/'Spolecne vstupy'!I19+I69)</f>
        <v>0</v>
      </c>
      <c r="J27" s="51">
        <f>'Vstupy V'!J70*('Spolecne vstupy'!J27/'Spolecne vstupy'!J19+J69)</f>
        <v>0</v>
      </c>
      <c r="K27" s="51">
        <f>'Vstupy V'!K70*('Spolecne vstupy'!K27/'Spolecne vstupy'!K19+K69)</f>
        <v>0</v>
      </c>
      <c r="L27" s="51">
        <f>'Vstupy V'!L70*('Spolecne vstupy'!L27/'Spolecne vstupy'!L19+L69)</f>
        <v>0</v>
      </c>
      <c r="M27" s="51">
        <f>'Vstupy V'!M70*('Spolecne vstupy'!M27/'Spolecne vstupy'!M19+M69)</f>
        <v>0</v>
      </c>
      <c r="N27" s="51">
        <f>'Vstupy V'!N70*('Spolecne vstupy'!N27/'Spolecne vstupy'!N19+N69)</f>
        <v>0</v>
      </c>
      <c r="O27" s="51">
        <f>'Vstupy V'!O70*('Spolecne vstupy'!O27/'Spolecne vstupy'!O19+O69)</f>
        <v>0</v>
      </c>
      <c r="P27" s="51">
        <f>'Vstupy V'!P70*('Spolecne vstupy'!P27/'Spolecne vstupy'!P19+P69)</f>
        <v>0</v>
      </c>
    </row>
    <row r="28" spans="2:16" ht="12">
      <c r="B28" s="44" t="str">
        <f>IF(CZ_EN=1,VLOOKUP("Infrastrukturní NEBO přidělené provozní - účetní odpisy v reálných cenách",Slovnik,1,0),VLOOKUP("Infrastrukturní NEBO přidělené provozní - účetní odpisy v reálných cenách",Slovnik,2,0))</f>
        <v>Infrastrukturní NEBO přidělené provozní - účetní odpisy v reálných cenách</v>
      </c>
      <c r="C28" s="44"/>
      <c r="D28" s="44"/>
      <c r="E28" s="53">
        <f>'Vstupy V'!E35/'Spolecne vstupy'!E19+E82</f>
        <v>0</v>
      </c>
      <c r="F28" s="53">
        <f>'Vstupy V'!F35/'Spolecne vstupy'!F19+F82</f>
        <v>0</v>
      </c>
      <c r="G28" s="53">
        <f>'Vstupy V'!G35/'Spolecne vstupy'!G19+G82</f>
        <v>0</v>
      </c>
      <c r="H28" s="53">
        <f>'Vstupy V'!H35/'Spolecne vstupy'!H19+H82</f>
        <v>0</v>
      </c>
      <c r="I28" s="53">
        <f>'Vstupy V'!I35/'Spolecne vstupy'!I19+I82</f>
        <v>0</v>
      </c>
      <c r="J28" s="53">
        <f>'Vstupy V'!J35/'Spolecne vstupy'!J19+J82</f>
        <v>0</v>
      </c>
      <c r="K28" s="53">
        <f>'Vstupy V'!K35/'Spolecne vstupy'!K19+K82</f>
        <v>0</v>
      </c>
      <c r="L28" s="53">
        <f>'Vstupy V'!L35/'Spolecne vstupy'!L19+L82</f>
        <v>0</v>
      </c>
      <c r="M28" s="53">
        <f>'Vstupy V'!M35/'Spolecne vstupy'!M19+M82</f>
        <v>0</v>
      </c>
      <c r="N28" s="53">
        <f>'Vstupy V'!N35/'Spolecne vstupy'!N19+N82</f>
        <v>0</v>
      </c>
      <c r="O28" s="53">
        <f>'Vstupy V'!O35/'Spolecne vstupy'!O19+O82</f>
        <v>0</v>
      </c>
      <c r="P28" s="53">
        <f>'Vstupy V'!P35/'Spolecne vstupy'!P19+P82</f>
        <v>0</v>
      </c>
    </row>
    <row r="29" spans="2:16" ht="12">
      <c r="B29" s="44" t="str">
        <f>IF(CZ_EN=1,VLOOKUP("Reálné odpisy",Slovnik,1,0),VLOOKUP("Reálné odpisy",Slovnik,2,0))</f>
        <v>Reálné odpisy</v>
      </c>
      <c r="C29" s="44"/>
      <c r="D29" s="44"/>
      <c r="E29" s="53">
        <f>IF(opm=1,'Vstupy V'!E37+'Vstupy V'!E65+('Spolecne vstupy'!E29+'Spolecne vstupy'!E57)*'Vstupy V'!E70,IF(opm=2,'Vstupy V'!E37+'Vstupy V'!E65,0))</f>
        <v>0</v>
      </c>
      <c r="F29" s="53">
        <f>IF(opm=1,'Vstupy V'!F37+'Vstupy V'!F65+('Spolecne vstupy'!F29+'Spolecne vstupy'!F57)*'Vstupy V'!F70,IF(opm=2,'Vstupy V'!F37+'Vstupy V'!F65,0))</f>
        <v>0</v>
      </c>
      <c r="G29" s="53">
        <f>IF(opm=1,'Vstupy V'!G37+'Vstupy V'!G65+('Spolecne vstupy'!G29+'Spolecne vstupy'!G57)*'Vstupy V'!G70,IF(opm=2,'Vstupy V'!G37+'Vstupy V'!G65,0))</f>
        <v>0</v>
      </c>
      <c r="H29" s="53">
        <f>IF(opm=1,'Vstupy V'!H37+'Vstupy V'!H65+('Spolecne vstupy'!H29+'Spolecne vstupy'!H57)*'Vstupy V'!H70,IF(opm=2,'Vstupy V'!H37+'Vstupy V'!H65,0))</f>
        <v>0</v>
      </c>
      <c r="I29" s="53">
        <f>IF(opm=1,'Vstupy V'!I37+'Vstupy V'!I65+('Spolecne vstupy'!I29+'Spolecne vstupy'!I57)*'Vstupy V'!I70,IF(opm=2,'Vstupy V'!I37+'Vstupy V'!I65,0))</f>
        <v>0</v>
      </c>
      <c r="J29" s="53">
        <f>IF(opm=1,'Vstupy V'!J37+'Vstupy V'!J65+('Spolecne vstupy'!J29+'Spolecne vstupy'!J57)*'Vstupy V'!J70,IF(opm=2,'Vstupy V'!J37+'Vstupy V'!J65,0))</f>
        <v>0</v>
      </c>
      <c r="K29" s="53">
        <f>IF(opm=1,'Vstupy V'!K37+'Vstupy V'!K65+('Spolecne vstupy'!K29+'Spolecne vstupy'!K57)*'Vstupy V'!K70,IF(opm=2,'Vstupy V'!K37+'Vstupy V'!K65,0))</f>
        <v>0</v>
      </c>
      <c r="L29" s="53">
        <f>IF(opm=1,'Vstupy V'!L37+'Vstupy V'!L65+('Spolecne vstupy'!L29+'Spolecne vstupy'!L57)*'Vstupy V'!L70,IF(opm=2,'Vstupy V'!L37+'Vstupy V'!L65,0))</f>
        <v>0</v>
      </c>
      <c r="M29" s="53">
        <f>IF(opm=1,'Vstupy V'!M37+'Vstupy V'!M65+('Spolecne vstupy'!M29+'Spolecne vstupy'!M57)*'Vstupy V'!M70,IF(opm=2,'Vstupy V'!M37+'Vstupy V'!M65,0))</f>
        <v>0</v>
      </c>
      <c r="N29" s="53">
        <f>IF(opm=1,'Vstupy V'!N37+'Vstupy V'!N65+('Spolecne vstupy'!N29+'Spolecne vstupy'!N57)*'Vstupy V'!N70,IF(opm=2,'Vstupy V'!N37+'Vstupy V'!N65,0))</f>
        <v>0</v>
      </c>
      <c r="O29" s="53">
        <f>IF(opm=1,'Vstupy V'!O37+'Vstupy V'!O65+('Spolecne vstupy'!O29+'Spolecne vstupy'!O57)*'Vstupy V'!O70,IF(opm=2,'Vstupy V'!O37+'Vstupy V'!O65,0))</f>
        <v>0</v>
      </c>
      <c r="P29" s="53">
        <f>IF(opm=1,'Vstupy V'!P37+'Vstupy V'!P65+('Spolecne vstupy'!P29+'Spolecne vstupy'!P57)*'Vstupy V'!P70,IF(opm=2,'Vstupy V'!P37+'Vstupy V'!P65,0))</f>
        <v>0</v>
      </c>
    </row>
    <row r="30" spans="2:16" ht="12">
      <c r="B30" s="45" t="str">
        <f>IF(CZ_EN=1,VLOOKUP("Úprava o inflaci",Slovnik,1,0),VLOOKUP("Úprava o inflaci",Slovnik,2,0))</f>
        <v>Úprava o inflaci</v>
      </c>
      <c r="C30" s="45"/>
      <c r="D30" s="45"/>
      <c r="E30" s="54">
        <f aca="true" t="shared" si="5" ref="E30:P30">IF(opm=1,E29-E28-E27,IF(opm=2,E29-E28,0))</f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  <c r="L30" s="54">
        <f t="shared" si="5"/>
        <v>0</v>
      </c>
      <c r="M30" s="54">
        <f t="shared" si="5"/>
        <v>0</v>
      </c>
      <c r="N30" s="54">
        <f t="shared" si="5"/>
        <v>0</v>
      </c>
      <c r="O30" s="54">
        <f t="shared" si="5"/>
        <v>0</v>
      </c>
      <c r="P30" s="54">
        <f t="shared" si="5"/>
        <v>0</v>
      </c>
    </row>
    <row r="31" spans="5:16" ht="12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ht="12.75">
      <c r="B32" s="24" t="str">
        <f>IF(CZ_EN=1,VLOOKUP("Očekávání",Slovnik,1,0),VLOOKUP("Očekávání",Slovnik,2,0))</f>
        <v>Očekávání</v>
      </c>
      <c r="D32" s="132">
        <f>'Spolecne vstupy'!C8</f>
        <v>1</v>
      </c>
      <c r="E32" s="32"/>
      <c r="F32" s="352">
        <v>1</v>
      </c>
      <c r="G32" s="33">
        <v>2</v>
      </c>
      <c r="H32" s="33">
        <v>3</v>
      </c>
      <c r="I32" s="33">
        <v>4</v>
      </c>
      <c r="J32" s="33">
        <v>5</v>
      </c>
      <c r="K32" s="33">
        <v>6</v>
      </c>
      <c r="L32" s="33">
        <v>7</v>
      </c>
      <c r="M32" s="33">
        <v>8</v>
      </c>
      <c r="N32" s="33">
        <v>9</v>
      </c>
      <c r="O32" s="33">
        <v>10</v>
      </c>
      <c r="P32" s="33">
        <v>11</v>
      </c>
    </row>
    <row r="33" spans="2:16" ht="12">
      <c r="B33" s="41" t="str">
        <f>IF(CZ_EN=1,VLOOKUP("Běžné",Slovnik,1,0),VLOOKUP("Běžné",Slovnik,2,0))</f>
        <v>běžné</v>
      </c>
      <c r="C33" s="41"/>
      <c r="D33" s="41"/>
      <c r="E33" s="51">
        <f>'Vstupy V'!E76</f>
        <v>0</v>
      </c>
      <c r="F33" s="18">
        <f aca="true" t="shared" si="6" ref="F33:P33">IF((E33-$E$33/(clDW+1))&lt;0,0,E33-$E$33/(clDW+1))</f>
        <v>0</v>
      </c>
      <c r="G33" s="51">
        <f t="shared" si="6"/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  <c r="K33" s="51">
        <f t="shared" si="6"/>
        <v>0</v>
      </c>
      <c r="L33" s="51">
        <f t="shared" si="6"/>
        <v>0</v>
      </c>
      <c r="M33" s="51">
        <f t="shared" si="6"/>
        <v>0</v>
      </c>
      <c r="N33" s="51">
        <f t="shared" si="6"/>
        <v>0</v>
      </c>
      <c r="O33" s="51">
        <f t="shared" si="6"/>
        <v>0</v>
      </c>
      <c r="P33" s="51">
        <f t="shared" si="6"/>
        <v>0</v>
      </c>
    </row>
    <row r="34" spans="2:16" ht="12">
      <c r="B34" s="44" t="str">
        <f>IF(CZ_EN=1,VLOOKUP(" - výnos z Očekávání",Slovnik,1,0),VLOOKUP(" - výnos z Očekávání",Slovnik,2,0))</f>
        <v> - výnos z Očekávání</v>
      </c>
      <c r="C34" s="44"/>
      <c r="D34" s="44"/>
      <c r="E34" s="53"/>
      <c r="F34" s="53">
        <f aca="true" t="shared" si="7" ref="F34:P34">F33*waccDW</f>
        <v>0</v>
      </c>
      <c r="G34" s="53">
        <f t="shared" si="7"/>
        <v>0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0</v>
      </c>
      <c r="N34" s="53">
        <f t="shared" si="7"/>
        <v>0</v>
      </c>
      <c r="O34" s="53">
        <f t="shared" si="7"/>
        <v>0</v>
      </c>
      <c r="P34" s="53">
        <f t="shared" si="7"/>
        <v>0</v>
      </c>
    </row>
    <row r="35" spans="2:16" ht="12">
      <c r="B35" s="45" t="str">
        <f>IF(CZ_EN=1,VLOOKUP(" - návratnost Očekávání",Slovnik,1,0),VLOOKUP(" - návratnost Očekávání",Slovnik,2,0))</f>
        <v> - návratnost Očekávání</v>
      </c>
      <c r="C35" s="45"/>
      <c r="D35" s="45"/>
      <c r="E35" s="54"/>
      <c r="F35" s="54">
        <f>E33-F33</f>
        <v>0</v>
      </c>
      <c r="G35" s="54">
        <f>F33-G33</f>
        <v>0</v>
      </c>
      <c r="H35" s="54">
        <f aca="true" t="shared" si="8" ref="H35:O35">G33-H33</f>
        <v>0</v>
      </c>
      <c r="I35" s="54">
        <f t="shared" si="8"/>
        <v>0</v>
      </c>
      <c r="J35" s="54">
        <f t="shared" si="8"/>
        <v>0</v>
      </c>
      <c r="K35" s="54">
        <f t="shared" si="8"/>
        <v>0</v>
      </c>
      <c r="L35" s="54">
        <f t="shared" si="8"/>
        <v>0</v>
      </c>
      <c r="M35" s="54">
        <f t="shared" si="8"/>
        <v>0</v>
      </c>
      <c r="N35" s="54">
        <f t="shared" si="8"/>
        <v>0</v>
      </c>
      <c r="O35" s="54">
        <f t="shared" si="8"/>
        <v>0</v>
      </c>
      <c r="P35" s="54">
        <f>O33-P33</f>
        <v>0</v>
      </c>
    </row>
    <row r="36" spans="2:16" ht="12">
      <c r="B36" s="41" t="str">
        <f>IF(CZ_EN=1,VLOOKUP("anuitní",Slovnik,1,0),VLOOKUP("anuitní",Slovnik,2,0))</f>
        <v>anuitní</v>
      </c>
      <c r="C36" s="41"/>
      <c r="D36" s="41"/>
      <c r="E36" s="51">
        <f>E33</f>
        <v>0</v>
      </c>
      <c r="F36" s="51">
        <f>IF(E36-F38&lt;0,0,E36-F38)</f>
        <v>0</v>
      </c>
      <c r="G36" s="51">
        <f>IF(F36-G38&lt;0,0,F36-G38)</f>
        <v>0</v>
      </c>
      <c r="H36" s="51">
        <f>IF(G36-H38&lt;0,0,G36-H38)</f>
        <v>0</v>
      </c>
      <c r="I36" s="51">
        <f aca="true" t="shared" si="9" ref="I36:P36">IF(H36-I38&lt;0,0,H36-I38)</f>
        <v>0</v>
      </c>
      <c r="J36" s="51">
        <f t="shared" si="9"/>
        <v>0</v>
      </c>
      <c r="K36" s="51">
        <f t="shared" si="9"/>
        <v>0</v>
      </c>
      <c r="L36" s="51">
        <f t="shared" si="9"/>
        <v>0</v>
      </c>
      <c r="M36" s="51">
        <f t="shared" si="9"/>
        <v>0</v>
      </c>
      <c r="N36" s="51">
        <f t="shared" si="9"/>
        <v>0</v>
      </c>
      <c r="O36" s="51">
        <f t="shared" si="9"/>
        <v>0</v>
      </c>
      <c r="P36" s="51">
        <f t="shared" si="9"/>
        <v>0</v>
      </c>
    </row>
    <row r="37" spans="2:16" ht="12">
      <c r="B37" s="44" t="str">
        <f>IF(CZ_EN=1,VLOOKUP(" - výnos a návratnost z Očekávání",Slovnik,1,0),VLOOKUP(" - výnos a návratnost z Očekávání",Slovnik,2,0))</f>
        <v> - výnos a návratnost z Očekávání</v>
      </c>
      <c r="C37" s="44"/>
      <c r="D37" s="44"/>
      <c r="E37" s="53"/>
      <c r="F37" s="53">
        <f>IF(F32&lt;=(clDW+1),-PMT(waccDW,(clDW+1),'Vstupy V'!$E$76),0)</f>
        <v>0</v>
      </c>
      <c r="G37" s="53">
        <f>IF(G32&lt;=(clDW+1),-PMT(waccDW,(clDW+1),'Vstupy V'!$E$76),0)</f>
        <v>0</v>
      </c>
      <c r="H37" s="53">
        <f>IF(H32&lt;=(clDW+1),-PMT(waccDW,(clDW+1),'Vstupy V'!$E$76),0)</f>
        <v>0</v>
      </c>
      <c r="I37" s="53">
        <f>IF(I32&lt;=(clDW+1),-PMT(waccDW,(clDW+1),'Vstupy V'!$E$76),0)</f>
        <v>0</v>
      </c>
      <c r="J37" s="53">
        <f>IF(J32&lt;=(clDW+1),-PMT(waccDW,(clDW+1),'Vstupy V'!$E$76),0)</f>
        <v>0</v>
      </c>
      <c r="K37" s="53">
        <f>IF(K32&lt;=(clDW+1),-PMT(waccDW,(clDW+1),'Vstupy V'!$E$76),0)</f>
        <v>0</v>
      </c>
      <c r="L37" s="53">
        <f>IF(L32&lt;=(clDW+1),-PMT(waccDW,(clDW+1),'Vstupy V'!$E$76),0)</f>
        <v>0</v>
      </c>
      <c r="M37" s="53">
        <f>IF(M32&lt;=(clDW+1),-PMT(waccDW,(clDW+1),'Vstupy V'!$E$76),0)</f>
        <v>0</v>
      </c>
      <c r="N37" s="53">
        <f>IF(N32&lt;=(clDW+1),-PMT(waccDW,(clDW+1),'Vstupy V'!$E$76),0)</f>
        <v>0</v>
      </c>
      <c r="O37" s="53">
        <f>IF(O32&lt;=(clDW+1),-PMT(waccDW,(clDW+1),'Vstupy V'!$E$76),0)</f>
        <v>0</v>
      </c>
      <c r="P37" s="53">
        <f>IF(P32&lt;=(clDW+1),-PMT(waccDW,(clDW+1),'Vstupy V'!$E$76),0)</f>
        <v>0</v>
      </c>
    </row>
    <row r="38" spans="2:16" ht="12">
      <c r="B38" s="44" t="str">
        <f>IF(CZ_EN=1,VLOOKUP(" - návratnost Očekávání",Slovnik,1,0),VLOOKUP(" - návratnost Očekávání",Slovnik,2,0))</f>
        <v> - návratnost Očekávání</v>
      </c>
      <c r="C38" s="44"/>
      <c r="D38" s="44"/>
      <c r="E38" s="53"/>
      <c r="F38" s="53">
        <f aca="true" t="shared" si="10" ref="F38:P38">IF(F32&lt;=(clDW+1),-PPMT(waccDW,F32,(clDW+1),$E$33),0)</f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f t="shared" si="10"/>
        <v>0</v>
      </c>
      <c r="K38" s="53">
        <f t="shared" si="10"/>
        <v>0</v>
      </c>
      <c r="L38" s="53">
        <f t="shared" si="10"/>
        <v>0</v>
      </c>
      <c r="M38" s="53">
        <f t="shared" si="10"/>
        <v>0</v>
      </c>
      <c r="N38" s="53">
        <f t="shared" si="10"/>
        <v>0</v>
      </c>
      <c r="O38" s="53">
        <f t="shared" si="10"/>
        <v>0</v>
      </c>
      <c r="P38" s="53">
        <f t="shared" si="10"/>
        <v>0</v>
      </c>
    </row>
    <row r="39" spans="2:16" ht="12">
      <c r="B39" s="45" t="str">
        <f>IF(CZ_EN=1,VLOOKUP(" - výnos z Očekávání",Slovnik,1,0),VLOOKUP(" - výnos z Očekávání",Slovnik,2,0))</f>
        <v> - výnos z Očekávání</v>
      </c>
      <c r="C39" s="45"/>
      <c r="D39" s="45"/>
      <c r="E39" s="54"/>
      <c r="F39" s="54">
        <f>F37-F38</f>
        <v>0</v>
      </c>
      <c r="G39" s="54">
        <f>G37-G38</f>
        <v>0</v>
      </c>
      <c r="H39" s="54">
        <f aca="true" t="shared" si="11" ref="H39:P39">H37-H38</f>
        <v>0</v>
      </c>
      <c r="I39" s="54">
        <f t="shared" si="11"/>
        <v>0</v>
      </c>
      <c r="J39" s="54">
        <f t="shared" si="11"/>
        <v>0</v>
      </c>
      <c r="K39" s="54">
        <f t="shared" si="11"/>
        <v>0</v>
      </c>
      <c r="L39" s="54">
        <f t="shared" si="11"/>
        <v>0</v>
      </c>
      <c r="M39" s="54">
        <f t="shared" si="11"/>
        <v>0</v>
      </c>
      <c r="N39" s="54">
        <f t="shared" si="11"/>
        <v>0</v>
      </c>
      <c r="O39" s="54">
        <f t="shared" si="11"/>
        <v>0</v>
      </c>
      <c r="P39" s="54">
        <f t="shared" si="11"/>
        <v>0</v>
      </c>
    </row>
    <row r="40" spans="2:16" ht="12">
      <c r="B40" s="34" t="str">
        <f>CONCATENATE(IF(CZ_EN=1,VLOOKUP(" - výnos a návratnost z Očekávání",Slovnik,1,0),VLOOKUP(" - výnos a návratnost z Očekávání",Slovnik,2,0))," ",IF(CZ_EN=1,VLOOKUP("(vybraná varianta)",Slovnik,1,0),VLOOKUP("(vybraná varianta)",Slovnik,2,0)))</f>
        <v> - výnos a návratnost z Očekávání (vybraná varianta)</v>
      </c>
      <c r="C40" s="31"/>
      <c r="D40" s="31"/>
      <c r="E40" s="39"/>
      <c r="F40" s="33"/>
      <c r="G40" s="33">
        <f aca="true" t="shared" si="12" ref="G40:P40">IF($D$32=1,G34+G35,G37)</f>
        <v>0</v>
      </c>
      <c r="H40" s="33">
        <f t="shared" si="12"/>
        <v>0</v>
      </c>
      <c r="I40" s="33">
        <f t="shared" si="12"/>
        <v>0</v>
      </c>
      <c r="J40" s="33">
        <f t="shared" si="12"/>
        <v>0</v>
      </c>
      <c r="K40" s="33">
        <f t="shared" si="12"/>
        <v>0</v>
      </c>
      <c r="L40" s="33">
        <f t="shared" si="12"/>
        <v>0</v>
      </c>
      <c r="M40" s="33">
        <f t="shared" si="12"/>
        <v>0</v>
      </c>
      <c r="N40" s="33">
        <f t="shared" si="12"/>
        <v>0</v>
      </c>
      <c r="O40" s="33">
        <f t="shared" si="12"/>
        <v>0</v>
      </c>
      <c r="P40" s="33">
        <f t="shared" si="12"/>
        <v>0</v>
      </c>
    </row>
    <row r="41" spans="6:16" ht="12">
      <c r="F41" s="34" t="str">
        <f>IF(CZ_EN=1,VLOOKUP("rok",Slovnik,1,0),VLOOKUP("rok",Slovnik,2,0))</f>
        <v>rok</v>
      </c>
      <c r="G41" s="34">
        <v>1</v>
      </c>
      <c r="H41" s="34">
        <v>2</v>
      </c>
      <c r="I41" s="34">
        <v>3</v>
      </c>
      <c r="J41" s="34">
        <v>4</v>
      </c>
      <c r="K41" s="34">
        <v>5</v>
      </c>
      <c r="L41" s="34">
        <v>6</v>
      </c>
      <c r="M41" s="34">
        <v>7</v>
      </c>
      <c r="N41" s="34">
        <v>8</v>
      </c>
      <c r="O41" s="34">
        <v>9</v>
      </c>
      <c r="P41" s="34">
        <v>10</v>
      </c>
    </row>
    <row r="42" spans="2:16" ht="12.75">
      <c r="B42" s="24" t="str">
        <f>IF(CZ_EN=1,VLOOKUP("POVOLENÝ PŘÍJEM (pokud je relevantní)",Slovnik,1,0),VLOOKUP("POVOLENÝ PŘÍJEM (pokud je relevantní)",Slovnik,2,0))</f>
        <v>POVOLENÝ PŘÍJEM (pokud je relevantní)</v>
      </c>
      <c r="F42" s="34"/>
      <c r="G42" s="34">
        <f aca="true" t="shared" si="13" ref="G42:P42">IF(G41&lt;=DoPCP,1,0)</f>
        <v>1</v>
      </c>
      <c r="H42" s="34">
        <f t="shared" si="13"/>
        <v>1</v>
      </c>
      <c r="I42" s="34">
        <f t="shared" si="13"/>
        <v>1</v>
      </c>
      <c r="J42" s="34">
        <f t="shared" si="13"/>
        <v>1</v>
      </c>
      <c r="K42" s="34">
        <f t="shared" si="13"/>
        <v>1</v>
      </c>
      <c r="L42" s="34">
        <f t="shared" si="13"/>
        <v>0</v>
      </c>
      <c r="M42" s="34">
        <f t="shared" si="13"/>
        <v>0</v>
      </c>
      <c r="N42" s="34">
        <f t="shared" si="13"/>
        <v>0</v>
      </c>
      <c r="O42" s="34">
        <f t="shared" si="13"/>
        <v>0</v>
      </c>
      <c r="P42" s="34">
        <f t="shared" si="13"/>
        <v>0</v>
      </c>
    </row>
    <row r="43" spans="2:16" ht="12">
      <c r="B43" s="41" t="str">
        <f>IF(CZ_EN=1,VLOOKUP("Diskontovaný Pož. příjem",Slovnik,1,0),VLOOKUP("Diskontovaný Pož. příjem",Slovnik,2,0))</f>
        <v>Diskontovaný Pož. příjem</v>
      </c>
      <c r="C43" s="41"/>
      <c r="D43" s="41"/>
      <c r="E43" s="41"/>
      <c r="F43" s="120">
        <f>'Vystupy V'!F48/'Spolecne vstupy'!F19*'Vypocty V'!F42</f>
        <v>0</v>
      </c>
      <c r="G43" s="120">
        <f>'Vystupy V'!G48/'Spolecne vstupy'!G19*'Vypocty V'!G42</f>
        <v>3426.4822154216627</v>
      </c>
      <c r="H43" s="120">
        <f>'Vystupy V'!H48/'Spolecne vstupy'!H19*'Vypocty V'!H42</f>
        <v>3426.6678399375883</v>
      </c>
      <c r="I43" s="120">
        <f>'Vystupy V'!I48/'Spolecne vstupy'!I19*'Vypocty V'!I42</f>
        <v>3469.562506978856</v>
      </c>
      <c r="J43" s="120">
        <f>'Vystupy V'!J48/'Spolecne vstupy'!J19*'Vypocty V'!J42</f>
        <v>3509.4575877540155</v>
      </c>
      <c r="K43" s="120">
        <f>'Vystupy V'!K48/'Spolecne vstupy'!K19*'Vypocty V'!K42</f>
        <v>3546.454221491095</v>
      </c>
      <c r="L43" s="120">
        <f>'Vystupy V'!L48/'Spolecne vstupy'!L19*'Vypocty V'!L42</f>
        <v>0</v>
      </c>
      <c r="M43" s="120">
        <f>'Vystupy V'!M48/'Spolecne vstupy'!M19*'Vypocty V'!M42</f>
        <v>0</v>
      </c>
      <c r="N43" s="120">
        <f>'Vystupy V'!N48/'Spolecne vstupy'!N19*'Vypocty V'!N42</f>
        <v>0</v>
      </c>
      <c r="O43" s="120">
        <f>'Vystupy V'!O48/'Spolecne vstupy'!O19*'Vypocty V'!O42</f>
        <v>0</v>
      </c>
      <c r="P43" s="120">
        <f>'Vystupy V'!P48/'Spolecne vstupy'!P19*'Vypocty V'!P42</f>
        <v>0</v>
      </c>
    </row>
    <row r="44" spans="2:16" ht="12">
      <c r="B44" s="44" t="str">
        <f>IF(CZ_EN=1,VLOOKUP("Diskontovaný objem produkce",Slovnik,1,0),VLOOKUP("Diskontovaný objem produkce",Slovnik,2,0))</f>
        <v>Diskontovaný objem produkce</v>
      </c>
      <c r="C44" s="44"/>
      <c r="D44" s="44"/>
      <c r="E44" s="44"/>
      <c r="F44" s="53">
        <f>'Vstupy V'!F28*'Spolecne vstupy'!F21/'Spolecne vstupy'!F19*F42</f>
        <v>0</v>
      </c>
      <c r="G44" s="53">
        <f>'Vstupy V'!G28*'Spolecne vstupy'!G21/'Spolecne vstupy'!G19*G42</f>
        <v>123.89638318670578</v>
      </c>
      <c r="H44" s="53">
        <f>'Vstupy V'!H28*'Spolecne vstupy'!H21/'Spolecne vstupy'!H19*H42</f>
        <v>124.33634255266136</v>
      </c>
      <c r="I44" s="53">
        <f>'Vstupy V'!I28*'Spolecne vstupy'!I21/'Spolecne vstupy'!I19*I42</f>
        <v>126.58677409207604</v>
      </c>
      <c r="J44" s="53">
        <f>'Vstupy V'!J28*'Spolecne vstupy'!J21/'Spolecne vstupy'!J19*J42</f>
        <v>128.7011501299248</v>
      </c>
      <c r="K44" s="53">
        <f>'Vstupy V'!K28*'Spolecne vstupy'!K21/'Spolecne vstupy'!K19*K42</f>
        <v>130.68394095825698</v>
      </c>
      <c r="L44" s="53">
        <f>'Vstupy V'!L28*'Spolecne vstupy'!L21/'Spolecne vstupy'!L19*L42</f>
        <v>0</v>
      </c>
      <c r="M44" s="53">
        <f>'Vstupy V'!M28*'Spolecne vstupy'!M21/'Spolecne vstupy'!M19*M42</f>
        <v>0</v>
      </c>
      <c r="N44" s="53">
        <f>'Vstupy V'!N28*'Spolecne vstupy'!N21/'Spolecne vstupy'!N19*N42</f>
        <v>0</v>
      </c>
      <c r="O44" s="53">
        <f>'Vstupy V'!O28*'Spolecne vstupy'!O21/'Spolecne vstupy'!O19*O42</f>
        <v>0</v>
      </c>
      <c r="P44" s="53">
        <f>'Vstupy V'!P28*'Spolecne vstupy'!P21/'Spolecne vstupy'!P19*P42</f>
        <v>0</v>
      </c>
    </row>
    <row r="45" spans="2:16" ht="12">
      <c r="B45" s="44" t="str">
        <f>IF(CZ_EN=1,VLOOKUP("Index růstu cen",Slovnik,1,0),VLOOKUP("Index růstu cen",Slovnik,2,0))</f>
        <v>Index růstu cen</v>
      </c>
      <c r="C45" s="44"/>
      <c r="D45" s="44"/>
      <c r="E45" s="44"/>
      <c r="F45" s="119">
        <f>'Vstupy V'!E10</f>
        <v>0</v>
      </c>
      <c r="G45" s="121">
        <f>1*G42</f>
        <v>1</v>
      </c>
      <c r="H45" s="121">
        <f>G45*(1+$F$45)*H42</f>
        <v>1</v>
      </c>
      <c r="I45" s="121">
        <f aca="true" t="shared" si="14" ref="I45:P45">H45*(1+$F$45)*I42</f>
        <v>1</v>
      </c>
      <c r="J45" s="121">
        <f t="shared" si="14"/>
        <v>1</v>
      </c>
      <c r="K45" s="121">
        <f t="shared" si="14"/>
        <v>1</v>
      </c>
      <c r="L45" s="121">
        <f t="shared" si="14"/>
        <v>0</v>
      </c>
      <c r="M45" s="121">
        <f t="shared" si="14"/>
        <v>0</v>
      </c>
      <c r="N45" s="121">
        <f t="shared" si="14"/>
        <v>0</v>
      </c>
      <c r="O45" s="121">
        <f t="shared" si="14"/>
        <v>0</v>
      </c>
      <c r="P45" s="121">
        <f t="shared" si="14"/>
        <v>0</v>
      </c>
    </row>
    <row r="46" spans="2:16" ht="12">
      <c r="B46" s="44" t="str">
        <f>IF(CZ_EN=1,VLOOKUP("Diskontovaný objem produkce indexovaný cenovým růstem",Slovnik,1,0),VLOOKUP("Diskontovaný objem produkce indexovaný cenovým růstem",Slovnik,2,0))</f>
        <v>Diskontovaný objem produkce indexovaný cenovým růstem</v>
      </c>
      <c r="C46" s="44"/>
      <c r="D46" s="44"/>
      <c r="E46" s="44"/>
      <c r="F46" s="44"/>
      <c r="G46" s="53">
        <f>G44*G45</f>
        <v>123.89638318670578</v>
      </c>
      <c r="H46" s="53">
        <f aca="true" t="shared" si="15" ref="H46:P46">H44*H45</f>
        <v>124.33634255266136</v>
      </c>
      <c r="I46" s="53">
        <f t="shared" si="15"/>
        <v>126.58677409207604</v>
      </c>
      <c r="J46" s="53">
        <f t="shared" si="15"/>
        <v>128.7011501299248</v>
      </c>
      <c r="K46" s="53">
        <f t="shared" si="15"/>
        <v>130.68394095825698</v>
      </c>
      <c r="L46" s="53">
        <f t="shared" si="15"/>
        <v>0</v>
      </c>
      <c r="M46" s="53">
        <f t="shared" si="15"/>
        <v>0</v>
      </c>
      <c r="N46" s="53">
        <f t="shared" si="15"/>
        <v>0</v>
      </c>
      <c r="O46" s="53">
        <f t="shared" si="15"/>
        <v>0</v>
      </c>
      <c r="P46" s="53">
        <f t="shared" si="15"/>
        <v>0</v>
      </c>
    </row>
    <row r="47" spans="2:16" ht="12">
      <c r="B47" s="45" t="str">
        <f>IF(CZ_EN=1,VLOOKUP("Cena",Slovnik,1,0),VLOOKUP("Cena",Slovnik,2,0))</f>
        <v>Cena</v>
      </c>
      <c r="C47" s="45"/>
      <c r="D47" s="45"/>
      <c r="E47" s="45"/>
      <c r="F47" s="122">
        <f>IF(SUM(F46:P46)=0,0,SUM(F43:P43)/(SUM(F46:P46)))</f>
        <v>27.40223678668651</v>
      </c>
      <c r="G47" s="122">
        <f>$F$47*G45</f>
        <v>27.40223678668651</v>
      </c>
      <c r="H47" s="122">
        <f aca="true" t="shared" si="16" ref="H47:P47">$F$47*H45</f>
        <v>27.40223678668651</v>
      </c>
      <c r="I47" s="122">
        <f t="shared" si="16"/>
        <v>27.40223678668651</v>
      </c>
      <c r="J47" s="122">
        <f t="shared" si="16"/>
        <v>27.40223678668651</v>
      </c>
      <c r="K47" s="122">
        <f t="shared" si="16"/>
        <v>27.40223678668651</v>
      </c>
      <c r="L47" s="122">
        <f t="shared" si="16"/>
        <v>0</v>
      </c>
      <c r="M47" s="122">
        <f t="shared" si="16"/>
        <v>0</v>
      </c>
      <c r="N47" s="122">
        <f t="shared" si="16"/>
        <v>0</v>
      </c>
      <c r="O47" s="122">
        <f t="shared" si="16"/>
        <v>0</v>
      </c>
      <c r="P47" s="122">
        <f t="shared" si="16"/>
        <v>0</v>
      </c>
    </row>
    <row r="48" ht="12"/>
    <row r="49" ht="12.75">
      <c r="B49" s="179" t="str">
        <f>CONCATENATE(IF(CZ_EN=1,VLOOKUP("Daň z příjmu právnických osob",Slovnik,1,0),VLOOKUP("Daň z příjmu právnických osob",Slovnik,2,0))," ",IF(CZ_EN=1,VLOOKUP("bez PK",Slovnik,1,0),VLOOKUP("bez PK",Slovnik,2,0)))</f>
        <v>Daň z příjmu právnických osob bez PK</v>
      </c>
    </row>
    <row r="50" spans="2:16" ht="12">
      <c r="B50" s="41" t="str">
        <f>IF(CZ_EN=1,VLOOKUP("Základ",Slovnik,1,0),VLOOKUP("Základ",Slovnik,2,0))</f>
        <v>Základ</v>
      </c>
      <c r="C50" s="41"/>
      <c r="D50" s="41"/>
      <c r="E50" s="51">
        <f>IF('Vystupy V'!E33+'Vystupy V'!E35+'Vystupy V'!E36+'Vystupy V'!E37-'Vstupy V'!E97-'Vstupy V'!E110&lt;0,0,'Vystupy V'!E33+'Vystupy V'!E35+'Vystupy V'!E36+'Vystupy V'!E37-'Vstupy V'!E97-'Vstupy V'!E110)</f>
        <v>0</v>
      </c>
      <c r="F50" s="51">
        <f>IF('Vystupy V'!F33+'Vystupy V'!F35+'Vystupy V'!F36+'Vystupy V'!F37-'Vstupy V'!F97-'Vstupy V'!F110&lt;0,0,'Vystupy V'!F33+'Vystupy V'!F35+'Vystupy V'!F36+'Vystupy V'!F37-'Vstupy V'!F97-'Vstupy V'!F110)</f>
        <v>0</v>
      </c>
      <c r="G50" s="51">
        <f>IF('Vystupy V'!G33+'Vystupy V'!G35+'Vystupy V'!G36+'Vystupy V'!G37-'Vstupy V'!G97-'Vstupy V'!G110&lt;0,0,'Vystupy V'!G33+'Vystupy V'!G35+'Vystupy V'!G36+'Vystupy V'!G37-'Vstupy V'!G97-'Vstupy V'!G110)</f>
        <v>0</v>
      </c>
      <c r="H50" s="51">
        <f>IF('Vystupy V'!H33+'Vystupy V'!H35+'Vystupy V'!H36+'Vystupy V'!H37-'Vstupy V'!H97-'Vstupy V'!H110&lt;0,0,'Vystupy V'!H33+'Vystupy V'!H35+'Vystupy V'!H36+'Vystupy V'!H37-'Vstupy V'!H97-'Vstupy V'!H110)</f>
        <v>0</v>
      </c>
      <c r="I50" s="51">
        <f>IF('Vystupy V'!I33+'Vystupy V'!I35+'Vystupy V'!I36+'Vystupy V'!I37-'Vstupy V'!I97-'Vstupy V'!I110&lt;0,0,'Vystupy V'!I33+'Vystupy V'!I35+'Vystupy V'!I36+'Vystupy V'!I37-'Vstupy V'!I97-'Vstupy V'!I110)</f>
        <v>0</v>
      </c>
      <c r="J50" s="51">
        <f>IF('Vystupy V'!J33+'Vystupy V'!J35+'Vystupy V'!J36+'Vystupy V'!J37-'Vstupy V'!J97-'Vstupy V'!J110&lt;0,0,'Vystupy V'!J33+'Vystupy V'!J35+'Vystupy V'!J36+'Vystupy V'!J37-'Vstupy V'!J97-'Vstupy V'!J110)</f>
        <v>0</v>
      </c>
      <c r="K50" s="51">
        <f>IF('Vystupy V'!K33+'Vystupy V'!K35+'Vystupy V'!K36+'Vystupy V'!K37-'Vstupy V'!K97-'Vstupy V'!K110&lt;0,0,'Vystupy V'!K33+'Vystupy V'!K35+'Vystupy V'!K36+'Vystupy V'!K37-'Vstupy V'!K97-'Vstupy V'!K110)</f>
        <v>0</v>
      </c>
      <c r="L50" s="51">
        <f>IF('Vystupy V'!L33+'Vystupy V'!L35+'Vystupy V'!L36+'Vystupy V'!L37-'Vstupy V'!L97-'Vstupy V'!L110&lt;0,0,'Vystupy V'!L33+'Vystupy V'!L35+'Vystupy V'!L36+'Vystupy V'!L37-'Vstupy V'!L97-'Vstupy V'!L110)</f>
        <v>0</v>
      </c>
      <c r="M50" s="51">
        <f>IF('Vystupy V'!M33+'Vystupy V'!M35+'Vystupy V'!M36+'Vystupy V'!M37-'Vstupy V'!M97-'Vstupy V'!M110&lt;0,0,'Vystupy V'!M33+'Vystupy V'!M35+'Vystupy V'!M36+'Vystupy V'!M37-'Vstupy V'!M97-'Vstupy V'!M110)</f>
        <v>0</v>
      </c>
      <c r="N50" s="51">
        <f>IF('Vystupy V'!N33+'Vystupy V'!N35+'Vystupy V'!N36+'Vystupy V'!N37-'Vstupy V'!N97-'Vstupy V'!N110&lt;0,0,'Vystupy V'!N33+'Vystupy V'!N35+'Vystupy V'!N36+'Vystupy V'!N37-'Vstupy V'!N97-'Vstupy V'!N110)</f>
        <v>0</v>
      </c>
      <c r="O50" s="51">
        <f>IF('Vystupy V'!O33+'Vystupy V'!O35+'Vystupy V'!O36+'Vystupy V'!O37-'Vstupy V'!O97-'Vstupy V'!O110&lt;0,0,'Vystupy V'!O33+'Vystupy V'!O35+'Vystupy V'!O36+'Vystupy V'!O37-'Vstupy V'!O97-'Vstupy V'!O110)</f>
        <v>0</v>
      </c>
      <c r="P50" s="51">
        <f>IF('Vystupy V'!P33+'Vystupy V'!P35+'Vystupy V'!P36+'Vystupy V'!P37-'Vstupy V'!P97-'Vstupy V'!P110&lt;0,0,'Vystupy V'!P33+'Vystupy V'!P35+'Vystupy V'!P36+'Vystupy V'!P37-'Vstupy V'!P97-'Vstupy V'!P110)</f>
        <v>0</v>
      </c>
    </row>
    <row r="51" spans="2:16" ht="12">
      <c r="B51" s="45" t="str">
        <f>B49</f>
        <v>Daň z příjmu právnických osob bez PK</v>
      </c>
      <c r="C51" s="45"/>
      <c r="D51" s="45"/>
      <c r="E51" s="54">
        <f aca="true" t="shared" si="17" ref="E51:P51">E50/(1-rate)*rate</f>
        <v>0</v>
      </c>
      <c r="F51" s="54">
        <f t="shared" si="17"/>
        <v>0</v>
      </c>
      <c r="G51" s="54">
        <f t="shared" si="17"/>
        <v>0</v>
      </c>
      <c r="H51" s="54">
        <f t="shared" si="17"/>
        <v>0</v>
      </c>
      <c r="I51" s="54">
        <f t="shared" si="17"/>
        <v>0</v>
      </c>
      <c r="J51" s="54">
        <f t="shared" si="17"/>
        <v>0</v>
      </c>
      <c r="K51" s="54">
        <f t="shared" si="17"/>
        <v>0</v>
      </c>
      <c r="L51" s="54">
        <f t="shared" si="17"/>
        <v>0</v>
      </c>
      <c r="M51" s="54">
        <f t="shared" si="17"/>
        <v>0</v>
      </c>
      <c r="N51" s="54">
        <f t="shared" si="17"/>
        <v>0</v>
      </c>
      <c r="O51" s="54">
        <f t="shared" si="17"/>
        <v>0</v>
      </c>
      <c r="P51" s="54">
        <f t="shared" si="17"/>
        <v>0</v>
      </c>
    </row>
    <row r="52" spans="5:16" ht="12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2:16" ht="12">
      <c r="B53" s="41" t="str">
        <f>'Vystupy V'!C20</f>
        <v>Pracovní kapitál</v>
      </c>
      <c r="C53" s="41"/>
      <c r="D53" s="41"/>
      <c r="E53" s="51">
        <f>'Vystupy V'!E34/waccDW</f>
        <v>0</v>
      </c>
      <c r="F53" s="51">
        <f>'Vystupy V'!F34/waccDW</f>
        <v>0</v>
      </c>
      <c r="G53" s="51">
        <f>'Vystupy V'!G34/waccDW</f>
        <v>744.2773084215668</v>
      </c>
      <c r="H53" s="51">
        <f>'Vystupy V'!H34/waccDW</f>
        <v>758.7758196808628</v>
      </c>
      <c r="I53" s="51">
        <f>'Vystupy V'!I34/waccDW</f>
        <v>782.9400051130194</v>
      </c>
      <c r="J53" s="51">
        <f>'Vystupy V'!J34/waccDW</f>
        <v>807.104190545176</v>
      </c>
      <c r="K53" s="51">
        <f>'Vystupy V'!K34/waccDW</f>
        <v>831.2683759773327</v>
      </c>
      <c r="L53" s="51">
        <f>'Vystupy V'!L34/waccDW</f>
        <v>831.2683759773327</v>
      </c>
      <c r="M53" s="51">
        <f>'Vystupy V'!M34/waccDW</f>
        <v>831.2683759773327</v>
      </c>
      <c r="N53" s="51">
        <f>'Vystupy V'!N34/waccDW</f>
        <v>831.2683759773327</v>
      </c>
      <c r="O53" s="51">
        <f>'Vystupy V'!O34/waccDW</f>
        <v>831.2683759773327</v>
      </c>
      <c r="P53" s="51">
        <f>'Vystupy V'!P34/waccDW</f>
        <v>831.2683759773327</v>
      </c>
    </row>
    <row r="54" spans="2:16" ht="12">
      <c r="B54" s="44" t="str">
        <f>'Vystupy V'!C34</f>
        <v>Výnos z ReHoK bez Očekávání</v>
      </c>
      <c r="C54" s="44"/>
      <c r="D54" s="44"/>
      <c r="E54" s="53">
        <f>'Vystupy V'!E41-'Vystupy V'!E40</f>
        <v>0</v>
      </c>
      <c r="F54" s="53">
        <f>'Vystupy V'!F41-'Vystupy V'!F40</f>
        <v>0</v>
      </c>
      <c r="G54" s="53">
        <f>'Vystupy V'!G41-'Vystupy V'!G40</f>
        <v>74.69418308868944</v>
      </c>
      <c r="H54" s="53">
        <f>'Vystupy V'!H41-'Vystupy V'!H40</f>
        <v>76.19219412428902</v>
      </c>
      <c r="I54" s="53">
        <f>'Vystupy V'!I41-'Vystupy V'!I40</f>
        <v>78.68887918362134</v>
      </c>
      <c r="J54" s="53">
        <f>'Vystupy V'!J41-'Vystupy V'!J40</f>
        <v>81.18556424295366</v>
      </c>
      <c r="K54" s="53">
        <f>'Vystupy V'!K41-'Vystupy V'!K40</f>
        <v>83.68224930228598</v>
      </c>
      <c r="L54" s="53">
        <f>'Vystupy V'!L41-'Vystupy V'!L40</f>
        <v>83.68224930228598</v>
      </c>
      <c r="M54" s="53">
        <f>'Vystupy V'!M41-'Vystupy V'!M40</f>
        <v>83.68224930228598</v>
      </c>
      <c r="N54" s="53">
        <f>'Vystupy V'!N41-'Vystupy V'!N40</f>
        <v>83.68224930228598</v>
      </c>
      <c r="O54" s="53">
        <f>'Vystupy V'!O41-'Vystupy V'!O40</f>
        <v>83.68224930228598</v>
      </c>
      <c r="P54" s="53">
        <f>'Vystupy V'!P41-'Vystupy V'!P40</f>
        <v>83.68224930228598</v>
      </c>
    </row>
    <row r="55" spans="2:16" ht="12">
      <c r="B55" s="45" t="str">
        <f>CONCATENATE('Vystupy V'!C38," - ",IF(CZ_EN=1,VLOOKUP("příjmová část PK",Slovnik,1,0),VLOOKUP("příjmová část PK",Slovnik,2,0)))</f>
        <v>Daň z příjmu právnických osob - příjmová část PK</v>
      </c>
      <c r="C55" s="45"/>
      <c r="D55" s="45"/>
      <c r="E55" s="54">
        <f aca="true" t="shared" si="18" ref="E55:P55">E54*rate</f>
        <v>0</v>
      </c>
      <c r="F55" s="54">
        <f t="shared" si="18"/>
        <v>0</v>
      </c>
      <c r="G55" s="54">
        <f t="shared" si="18"/>
        <v>14.191894786850995</v>
      </c>
      <c r="H55" s="54">
        <f t="shared" si="18"/>
        <v>14.476516883614913</v>
      </c>
      <c r="I55" s="54">
        <f t="shared" si="18"/>
        <v>14.950887044888054</v>
      </c>
      <c r="J55" s="54">
        <f t="shared" si="18"/>
        <v>15.425257206161195</v>
      </c>
      <c r="K55" s="54">
        <f t="shared" si="18"/>
        <v>15.899627367434336</v>
      </c>
      <c r="L55" s="54">
        <f t="shared" si="18"/>
        <v>15.899627367434336</v>
      </c>
      <c r="M55" s="54">
        <f t="shared" si="18"/>
        <v>15.899627367434336</v>
      </c>
      <c r="N55" s="54">
        <f t="shared" si="18"/>
        <v>15.899627367434336</v>
      </c>
      <c r="O55" s="54">
        <f t="shared" si="18"/>
        <v>15.899627367434336</v>
      </c>
      <c r="P55" s="54">
        <f t="shared" si="18"/>
        <v>15.899627367434336</v>
      </c>
    </row>
    <row r="56" ht="12"/>
    <row r="57" ht="12">
      <c r="B57" s="18" t="str">
        <f>IF(CZ_EN=1,VLOOKUP("Nominální odpisy investic do provozního majetku v reálných cenách",Slovnik,1,0),VLOOKUP("Nominální odpisy investic do provozního majetku v reálných cenách",Slovnik,2,0))</f>
        <v>Nominální odpisy investic do provozního majetku v reálných cenách</v>
      </c>
    </row>
    <row r="58" spans="2:16" ht="12">
      <c r="B58" s="41" t="str">
        <f>CONCATENATE(Slovnik!$G$9,"  ",F2)</f>
        <v>uskutečněných v roce  2021</v>
      </c>
      <c r="C58" s="41"/>
      <c r="D58" s="41"/>
      <c r="E58" s="41"/>
      <c r="F58" s="51">
        <f>'Spolecne vstupy'!F35*'Spolecne vstupy'!$F$19/'Spolecne vstupy'!F19</f>
        <v>0</v>
      </c>
      <c r="G58" s="51">
        <f>'Spolecne vstupy'!G35*'Spolecne vstupy'!$F$19/'Spolecne vstupy'!G19</f>
        <v>0</v>
      </c>
      <c r="H58" s="51">
        <f>'Spolecne vstupy'!H35*'Spolecne vstupy'!$F$19/'Spolecne vstupy'!H19</f>
        <v>0</v>
      </c>
      <c r="I58" s="51">
        <f>'Spolecne vstupy'!I35*'Spolecne vstupy'!$F$19/'Spolecne vstupy'!I19</f>
        <v>0</v>
      </c>
      <c r="J58" s="51">
        <f>'Spolecne vstupy'!J35*'Spolecne vstupy'!$F$19/'Spolecne vstupy'!J19</f>
        <v>0</v>
      </c>
      <c r="K58" s="51">
        <f>'Spolecne vstupy'!K35*'Spolecne vstupy'!$F$19/'Spolecne vstupy'!K19</f>
        <v>0</v>
      </c>
      <c r="L58" s="51">
        <f>'Spolecne vstupy'!L35*'Spolecne vstupy'!$F$19/'Spolecne vstupy'!L19</f>
        <v>0</v>
      </c>
      <c r="M58" s="51">
        <f>'Spolecne vstupy'!M35*'Spolecne vstupy'!$F$19/'Spolecne vstupy'!M19</f>
        <v>0</v>
      </c>
      <c r="N58" s="51">
        <f>'Spolecne vstupy'!N35*'Spolecne vstupy'!$F$19/'Spolecne vstupy'!N19</f>
        <v>0</v>
      </c>
      <c r="O58" s="51">
        <f>'Spolecne vstupy'!O35*'Spolecne vstupy'!$F$19/'Spolecne vstupy'!O19</f>
        <v>0</v>
      </c>
      <c r="P58" s="51">
        <f>'Spolecne vstupy'!P35*'Spolecne vstupy'!$F$19/'Spolecne vstupy'!P19</f>
        <v>0</v>
      </c>
    </row>
    <row r="59" spans="2:16" ht="12">
      <c r="B59" s="44" t="str">
        <f>CONCATENATE(Slovnik!$G$9,"  ",G2)</f>
        <v>uskutečněných v roce  2022</v>
      </c>
      <c r="C59" s="44"/>
      <c r="D59" s="44"/>
      <c r="E59" s="44"/>
      <c r="F59" s="53"/>
      <c r="G59" s="53">
        <f>'Spolecne vstupy'!G37*'Spolecne vstupy'!$G$19/'Spolecne vstupy'!G19</f>
        <v>0</v>
      </c>
      <c r="H59" s="53">
        <f>'Spolecne vstupy'!H37*'Spolecne vstupy'!$G$19/'Spolecne vstupy'!H19</f>
        <v>0</v>
      </c>
      <c r="I59" s="53">
        <f>'Spolecne vstupy'!I37*'Spolecne vstupy'!$G$19/'Spolecne vstupy'!I19</f>
        <v>0</v>
      </c>
      <c r="J59" s="53">
        <f>'Spolecne vstupy'!J37*'Spolecne vstupy'!$G$19/'Spolecne vstupy'!J19</f>
        <v>0</v>
      </c>
      <c r="K59" s="53">
        <f>'Spolecne vstupy'!K37*'Spolecne vstupy'!$G$19/'Spolecne vstupy'!K19</f>
        <v>0</v>
      </c>
      <c r="L59" s="53">
        <f>'Spolecne vstupy'!L37*'Spolecne vstupy'!$G$19/'Spolecne vstupy'!L19</f>
        <v>0</v>
      </c>
      <c r="M59" s="53">
        <f>'Spolecne vstupy'!M37*'Spolecne vstupy'!$G$19/'Spolecne vstupy'!M19</f>
        <v>0</v>
      </c>
      <c r="N59" s="53">
        <f>'Spolecne vstupy'!N37*'Spolecne vstupy'!$G$19/'Spolecne vstupy'!N19</f>
        <v>0</v>
      </c>
      <c r="O59" s="53">
        <f>'Spolecne vstupy'!O37*'Spolecne vstupy'!$G$19/'Spolecne vstupy'!O19</f>
        <v>0</v>
      </c>
      <c r="P59" s="53">
        <f>'Spolecne vstupy'!P37*'Spolecne vstupy'!$G$19/'Spolecne vstupy'!P19</f>
        <v>0</v>
      </c>
    </row>
    <row r="60" spans="2:16" ht="12">
      <c r="B60" s="44" t="str">
        <f>CONCATENATE(Slovnik!$G$9,"  ",H2)</f>
        <v>uskutečněných v roce  2023</v>
      </c>
      <c r="C60" s="44"/>
      <c r="D60" s="44"/>
      <c r="E60" s="44"/>
      <c r="F60" s="53"/>
      <c r="G60" s="53"/>
      <c r="H60" s="53">
        <f>'Spolecne vstupy'!H39*'Spolecne vstupy'!$H$19/'Spolecne vstupy'!H19</f>
        <v>0</v>
      </c>
      <c r="I60" s="53">
        <f>'Spolecne vstupy'!I39*'Spolecne vstupy'!$H$19/'Spolecne vstupy'!I19</f>
        <v>0</v>
      </c>
      <c r="J60" s="53">
        <f>'Spolecne vstupy'!J39*'Spolecne vstupy'!$H$19/'Spolecne vstupy'!J19</f>
        <v>0</v>
      </c>
      <c r="K60" s="53">
        <f>'Spolecne vstupy'!K39*'Spolecne vstupy'!$H$19/'Spolecne vstupy'!K19</f>
        <v>0</v>
      </c>
      <c r="L60" s="53">
        <f>'Spolecne vstupy'!L39*'Spolecne vstupy'!$H$19/'Spolecne vstupy'!L19</f>
        <v>0</v>
      </c>
      <c r="M60" s="53">
        <f>'Spolecne vstupy'!M39*'Spolecne vstupy'!$H$19/'Spolecne vstupy'!M19</f>
        <v>0</v>
      </c>
      <c r="N60" s="53">
        <f>'Spolecne vstupy'!N39*'Spolecne vstupy'!$H$19/'Spolecne vstupy'!N19</f>
        <v>0</v>
      </c>
      <c r="O60" s="53">
        <f>'Spolecne vstupy'!O39*'Spolecne vstupy'!$H$19/'Spolecne vstupy'!O19</f>
        <v>0</v>
      </c>
      <c r="P60" s="53">
        <f>'Spolecne vstupy'!P39*'Spolecne vstupy'!$H$19/'Spolecne vstupy'!P19</f>
        <v>0</v>
      </c>
    </row>
    <row r="61" spans="2:16" ht="12">
      <c r="B61" s="44" t="str">
        <f>CONCATENATE(Slovnik!$G$9,"  ",I2)</f>
        <v>uskutečněných v roce  2024</v>
      </c>
      <c r="C61" s="44"/>
      <c r="D61" s="44"/>
      <c r="E61" s="44"/>
      <c r="F61" s="53"/>
      <c r="G61" s="53"/>
      <c r="H61" s="53"/>
      <c r="I61" s="53">
        <f>'Spolecne vstupy'!I41*'Spolecne vstupy'!$I$19/'Spolecne vstupy'!I19</f>
        <v>0</v>
      </c>
      <c r="J61" s="53">
        <f>'Spolecne vstupy'!J41*'Spolecne vstupy'!$I$19/'Spolecne vstupy'!J19</f>
        <v>0</v>
      </c>
      <c r="K61" s="53">
        <f>'Spolecne vstupy'!K41*'Spolecne vstupy'!$I$19/'Spolecne vstupy'!K19</f>
        <v>0</v>
      </c>
      <c r="L61" s="53">
        <f>'Spolecne vstupy'!L41*'Spolecne vstupy'!$I$19/'Spolecne vstupy'!L19</f>
        <v>0</v>
      </c>
      <c r="M61" s="53">
        <f>'Spolecne vstupy'!M41*'Spolecne vstupy'!$I$19/'Spolecne vstupy'!M19</f>
        <v>0</v>
      </c>
      <c r="N61" s="53">
        <f>'Spolecne vstupy'!N41*'Spolecne vstupy'!$I$19/'Spolecne vstupy'!N19</f>
        <v>0</v>
      </c>
      <c r="O61" s="53">
        <f>'Spolecne vstupy'!O41*'Spolecne vstupy'!$I$19/'Spolecne vstupy'!O19</f>
        <v>0</v>
      </c>
      <c r="P61" s="53">
        <f>'Spolecne vstupy'!P41*'Spolecne vstupy'!$I$19/'Spolecne vstupy'!P19</f>
        <v>0</v>
      </c>
    </row>
    <row r="62" spans="2:16" ht="12">
      <c r="B62" s="44" t="str">
        <f>CONCATENATE(Slovnik!$G$9,"  ",J2)</f>
        <v>uskutečněných v roce  2025</v>
      </c>
      <c r="C62" s="44"/>
      <c r="D62" s="44"/>
      <c r="E62" s="44"/>
      <c r="F62" s="53"/>
      <c r="G62" s="53"/>
      <c r="H62" s="53"/>
      <c r="I62" s="53"/>
      <c r="J62" s="53">
        <f>'Spolecne vstupy'!J43*'Spolecne vstupy'!$J$19/'Spolecne vstupy'!J19</f>
        <v>0</v>
      </c>
      <c r="K62" s="53">
        <f>'Spolecne vstupy'!K43*'Spolecne vstupy'!$J$19/'Spolecne vstupy'!K19</f>
        <v>0</v>
      </c>
      <c r="L62" s="53">
        <f>'Spolecne vstupy'!L43*'Spolecne vstupy'!$J$19/'Spolecne vstupy'!L19</f>
        <v>0</v>
      </c>
      <c r="M62" s="53">
        <f>'Spolecne vstupy'!M43*'Spolecne vstupy'!$J$19/'Spolecne vstupy'!M19</f>
        <v>0</v>
      </c>
      <c r="N62" s="53">
        <f>'Spolecne vstupy'!N43*'Spolecne vstupy'!$J$19/'Spolecne vstupy'!N19</f>
        <v>0</v>
      </c>
      <c r="O62" s="53">
        <f>'Spolecne vstupy'!O43*'Spolecne vstupy'!$J$19/'Spolecne vstupy'!O19</f>
        <v>0</v>
      </c>
      <c r="P62" s="53">
        <f>'Spolecne vstupy'!P43*'Spolecne vstupy'!$J$19/'Spolecne vstupy'!P19</f>
        <v>0</v>
      </c>
    </row>
    <row r="63" spans="2:16" ht="12">
      <c r="B63" s="44" t="str">
        <f>CONCATENATE(Slovnik!$G$9,"  ",K2)</f>
        <v>uskutečněných v roce  2026</v>
      </c>
      <c r="C63" s="44"/>
      <c r="D63" s="44"/>
      <c r="E63" s="44"/>
      <c r="F63" s="53"/>
      <c r="G63" s="53"/>
      <c r="H63" s="53"/>
      <c r="I63" s="53"/>
      <c r="J63" s="53"/>
      <c r="K63" s="53">
        <f>'Spolecne vstupy'!K45*'Spolecne vstupy'!$K$19/'Spolecne vstupy'!K19</f>
        <v>0</v>
      </c>
      <c r="L63" s="53">
        <f>'Spolecne vstupy'!L45*'Spolecne vstupy'!$K$19/'Spolecne vstupy'!L19</f>
        <v>0</v>
      </c>
      <c r="M63" s="53">
        <f>'Spolecne vstupy'!M45*'Spolecne vstupy'!$K$19/'Spolecne vstupy'!M19</f>
        <v>0</v>
      </c>
      <c r="N63" s="53">
        <f>'Spolecne vstupy'!N45*'Spolecne vstupy'!$K$19/'Spolecne vstupy'!N19</f>
        <v>0</v>
      </c>
      <c r="O63" s="53">
        <f>'Spolecne vstupy'!O45*'Spolecne vstupy'!$K$19/'Spolecne vstupy'!O19</f>
        <v>0</v>
      </c>
      <c r="P63" s="53">
        <f>'Spolecne vstupy'!P45*'Spolecne vstupy'!$K$19/'Spolecne vstupy'!P19</f>
        <v>0</v>
      </c>
    </row>
    <row r="64" spans="2:16" ht="12">
      <c r="B64" s="44" t="str">
        <f>CONCATENATE(Slovnik!$G$9,"  ",L2)</f>
        <v>uskutečněných v roce  2027</v>
      </c>
      <c r="C64" s="44"/>
      <c r="D64" s="44"/>
      <c r="E64" s="44"/>
      <c r="F64" s="53"/>
      <c r="G64" s="53"/>
      <c r="H64" s="53"/>
      <c r="I64" s="53"/>
      <c r="J64" s="53"/>
      <c r="K64" s="53"/>
      <c r="L64" s="53">
        <f>'Spolecne vstupy'!L47*'Spolecne vstupy'!$L$19/'Spolecne vstupy'!L19</f>
        <v>0</v>
      </c>
      <c r="M64" s="53">
        <f>'Spolecne vstupy'!M47*'Spolecne vstupy'!$L$19/'Spolecne vstupy'!M19</f>
        <v>0</v>
      </c>
      <c r="N64" s="53">
        <f>'Spolecne vstupy'!N47*'Spolecne vstupy'!$L$19/'Spolecne vstupy'!N19</f>
        <v>0</v>
      </c>
      <c r="O64" s="53">
        <f>'Spolecne vstupy'!O47*'Spolecne vstupy'!$L$19/'Spolecne vstupy'!O19</f>
        <v>0</v>
      </c>
      <c r="P64" s="53">
        <f>'Spolecne vstupy'!P47*'Spolecne vstupy'!$L$19/'Spolecne vstupy'!P19</f>
        <v>0</v>
      </c>
    </row>
    <row r="65" spans="2:16" ht="12">
      <c r="B65" s="44" t="str">
        <f>CONCATENATE(Slovnik!$G$9,"  ",M2)</f>
        <v>uskutečněných v roce  2028</v>
      </c>
      <c r="C65" s="44"/>
      <c r="D65" s="44"/>
      <c r="E65" s="44"/>
      <c r="F65" s="53"/>
      <c r="G65" s="53"/>
      <c r="H65" s="53"/>
      <c r="I65" s="53"/>
      <c r="J65" s="53"/>
      <c r="K65" s="53"/>
      <c r="L65" s="53"/>
      <c r="M65" s="53">
        <f>'Spolecne vstupy'!M49*'Spolecne vstupy'!$M$19/'Spolecne vstupy'!M19</f>
        <v>0</v>
      </c>
      <c r="N65" s="53">
        <f>'Spolecne vstupy'!N49*'Spolecne vstupy'!$M$19/'Spolecne vstupy'!N19</f>
        <v>0</v>
      </c>
      <c r="O65" s="53">
        <f>'Spolecne vstupy'!O49*'Spolecne vstupy'!$M$19/'Spolecne vstupy'!O19</f>
        <v>0</v>
      </c>
      <c r="P65" s="53">
        <f>'Spolecne vstupy'!P49*'Spolecne vstupy'!$M$19/'Spolecne vstupy'!P19</f>
        <v>0</v>
      </c>
    </row>
    <row r="66" spans="2:16" ht="12">
      <c r="B66" s="44" t="str">
        <f>CONCATENATE(Slovnik!$G$9,"  ",N2)</f>
        <v>uskutečněných v roce  2029</v>
      </c>
      <c r="C66" s="44"/>
      <c r="D66" s="44"/>
      <c r="E66" s="44"/>
      <c r="F66" s="53"/>
      <c r="G66" s="53"/>
      <c r="H66" s="53"/>
      <c r="I66" s="53"/>
      <c r="J66" s="53"/>
      <c r="K66" s="53"/>
      <c r="L66" s="53"/>
      <c r="M66" s="53"/>
      <c r="N66" s="53">
        <f>'Spolecne vstupy'!N51*'Spolecne vstupy'!$N$19/'Spolecne vstupy'!N19</f>
        <v>0</v>
      </c>
      <c r="O66" s="53">
        <f>'Spolecne vstupy'!O51*'Spolecne vstupy'!$N$19/'Spolecne vstupy'!O19</f>
        <v>0</v>
      </c>
      <c r="P66" s="53">
        <f>'Spolecne vstupy'!P51*'Spolecne vstupy'!$N$19/'Spolecne vstupy'!P19</f>
        <v>0</v>
      </c>
    </row>
    <row r="67" spans="2:16" ht="12">
      <c r="B67" s="44" t="str">
        <f>CONCATENATE(Slovnik!$G$9,"  ",O2)</f>
        <v>uskutečněných v roce  2030</v>
      </c>
      <c r="C67" s="44"/>
      <c r="D67" s="44"/>
      <c r="E67" s="44"/>
      <c r="F67" s="53"/>
      <c r="G67" s="53"/>
      <c r="H67" s="53"/>
      <c r="I67" s="53"/>
      <c r="J67" s="53"/>
      <c r="K67" s="53"/>
      <c r="L67" s="53"/>
      <c r="M67" s="53"/>
      <c r="N67" s="53"/>
      <c r="O67" s="53">
        <f>'Spolecne vstupy'!O53*'Spolecne vstupy'!$O$19/'Spolecne vstupy'!O19</f>
        <v>0</v>
      </c>
      <c r="P67" s="53">
        <f>'Spolecne vstupy'!P53*'Spolecne vstupy'!$O$19/'Spolecne vstupy'!P19</f>
        <v>0</v>
      </c>
    </row>
    <row r="68" spans="2:16" ht="12">
      <c r="B68" s="45" t="str">
        <f>CONCATENATE(Slovnik!$G$9,"  ",P2)</f>
        <v>uskutečněných v roce  2031</v>
      </c>
      <c r="C68" s="45"/>
      <c r="D68" s="45"/>
      <c r="E68" s="4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>
        <f>'Spolecne vstupy'!P55*'Spolecne vstupy'!$P$19/'Spolecne vstupy'!P19</f>
        <v>0</v>
      </c>
    </row>
    <row r="69" spans="6:16" ht="12">
      <c r="F69" s="32">
        <f aca="true" t="shared" si="19" ref="F69:P69">SUM(F58:F68)</f>
        <v>0</v>
      </c>
      <c r="G69" s="32">
        <f t="shared" si="19"/>
        <v>0</v>
      </c>
      <c r="H69" s="32">
        <f t="shared" si="19"/>
        <v>0</v>
      </c>
      <c r="I69" s="32">
        <f t="shared" si="19"/>
        <v>0</v>
      </c>
      <c r="J69" s="32">
        <f t="shared" si="19"/>
        <v>0</v>
      </c>
      <c r="K69" s="32">
        <f t="shared" si="19"/>
        <v>0</v>
      </c>
      <c r="L69" s="32">
        <f t="shared" si="19"/>
        <v>0</v>
      </c>
      <c r="M69" s="32">
        <f t="shared" si="19"/>
        <v>0</v>
      </c>
      <c r="N69" s="32">
        <f t="shared" si="19"/>
        <v>0</v>
      </c>
      <c r="O69" s="32">
        <f t="shared" si="19"/>
        <v>0</v>
      </c>
      <c r="P69" s="32">
        <f t="shared" si="19"/>
        <v>0</v>
      </c>
    </row>
    <row r="70" ht="12">
      <c r="B70" s="18" t="str">
        <f>IF(CZ_EN=1,VLOOKUP("Nominální odpisy investic do infra. majetku v reálných cenách",Slovnik,1,0),VLOOKUP("Nominální odpisy investic do infra. majetku v reálných cenách",Slovnik,2,0))</f>
        <v>Nominální odpisy investic do infra. majetku v reálných cenách</v>
      </c>
    </row>
    <row r="71" spans="2:16" ht="12">
      <c r="B71" s="41" t="str">
        <f>CONCATENATE(Slovnik!$G$9,"  ",F2)</f>
        <v>uskutečněných v roce  2021</v>
      </c>
      <c r="C71" s="41"/>
      <c r="D71" s="41"/>
      <c r="E71" s="41"/>
      <c r="F71" s="51">
        <f>'Vstupy V'!F43*'Spolecne vstupy'!$F$19/'Spolecne vstupy'!F19</f>
        <v>0</v>
      </c>
      <c r="G71" s="51">
        <f>'Vstupy V'!G43*'Spolecne vstupy'!$F$19/'Spolecne vstupy'!G19</f>
        <v>0</v>
      </c>
      <c r="H71" s="51">
        <f>'Vstupy V'!H43*'Spolecne vstupy'!$F$19/'Spolecne vstupy'!H19</f>
        <v>0</v>
      </c>
      <c r="I71" s="51">
        <f>'Vstupy V'!I43*'Spolecne vstupy'!$F$19/'Spolecne vstupy'!I19</f>
        <v>0</v>
      </c>
      <c r="J71" s="51">
        <f>'Vstupy V'!J43*'Spolecne vstupy'!$F$19/'Spolecne vstupy'!J19</f>
        <v>0</v>
      </c>
      <c r="K71" s="51">
        <f>'Vstupy V'!K43*'Spolecne vstupy'!$F$19/'Spolecne vstupy'!K19</f>
        <v>0</v>
      </c>
      <c r="L71" s="51">
        <f>'Vstupy V'!L43*'Spolecne vstupy'!$F$19/'Spolecne vstupy'!L19</f>
        <v>0</v>
      </c>
      <c r="M71" s="51">
        <f>'Vstupy V'!M43*'Spolecne vstupy'!$F$19/'Spolecne vstupy'!M19</f>
        <v>0</v>
      </c>
      <c r="N71" s="51">
        <f>'Vstupy V'!N43*'Spolecne vstupy'!$F$19/'Spolecne vstupy'!N19</f>
        <v>0</v>
      </c>
      <c r="O71" s="51">
        <f>'Vstupy V'!O43*'Spolecne vstupy'!$F$19/'Spolecne vstupy'!O19</f>
        <v>0</v>
      </c>
      <c r="P71" s="51">
        <f>'Vstupy V'!P43*'Spolecne vstupy'!$F$19/'Spolecne vstupy'!P19</f>
        <v>0</v>
      </c>
    </row>
    <row r="72" spans="2:16" ht="12">
      <c r="B72" s="44" t="str">
        <f>CONCATENATE(Slovnik!$G$9,"  ",G2)</f>
        <v>uskutečněných v roce  2022</v>
      </c>
      <c r="C72" s="44"/>
      <c r="D72" s="44"/>
      <c r="E72" s="44"/>
      <c r="F72" s="53"/>
      <c r="G72" s="53">
        <f>'Vstupy V'!G45*'Spolecne vstupy'!$G$19/'Spolecne vstupy'!G19</f>
        <v>0</v>
      </c>
      <c r="H72" s="53">
        <f>'Vstupy V'!H45*'Spolecne vstupy'!$G$19/'Spolecne vstupy'!H19</f>
        <v>0</v>
      </c>
      <c r="I72" s="53">
        <f>'Vstupy V'!I45*'Spolecne vstupy'!$G$19/'Spolecne vstupy'!I19</f>
        <v>0</v>
      </c>
      <c r="J72" s="53">
        <f>'Vstupy V'!J45*'Spolecne vstupy'!$G$19/'Spolecne vstupy'!J19</f>
        <v>0</v>
      </c>
      <c r="K72" s="53">
        <f>'Vstupy V'!K45*'Spolecne vstupy'!$G$19/'Spolecne vstupy'!K19</f>
        <v>0</v>
      </c>
      <c r="L72" s="53">
        <f>'Vstupy V'!L45*'Spolecne vstupy'!$G$19/'Spolecne vstupy'!L19</f>
        <v>0</v>
      </c>
      <c r="M72" s="53">
        <f>'Vstupy V'!M45*'Spolecne vstupy'!$G$19/'Spolecne vstupy'!M19</f>
        <v>0</v>
      </c>
      <c r="N72" s="53">
        <f>'Vstupy V'!N45*'Spolecne vstupy'!$G$19/'Spolecne vstupy'!N19</f>
        <v>0</v>
      </c>
      <c r="O72" s="53">
        <f>'Vstupy V'!O45*'Spolecne vstupy'!$G$19/'Spolecne vstupy'!O19</f>
        <v>0</v>
      </c>
      <c r="P72" s="53">
        <f>'Vstupy V'!P45*'Spolecne vstupy'!$G$19/'Spolecne vstupy'!P19</f>
        <v>0</v>
      </c>
    </row>
    <row r="73" spans="2:16" ht="12">
      <c r="B73" s="44" t="str">
        <f>CONCATENATE(Slovnik!$G$9,"  ",H2)</f>
        <v>uskutečněných v roce  2023</v>
      </c>
      <c r="C73" s="44"/>
      <c r="D73" s="44"/>
      <c r="E73" s="44"/>
      <c r="F73" s="53"/>
      <c r="G73" s="53"/>
      <c r="H73" s="53">
        <f>'Vstupy V'!H47*'Spolecne vstupy'!$H$19/'Spolecne vstupy'!H19</f>
        <v>0</v>
      </c>
      <c r="I73" s="53">
        <f>'Vstupy V'!I47*'Spolecne vstupy'!$H$19/'Spolecne vstupy'!I19</f>
        <v>0</v>
      </c>
      <c r="J73" s="53">
        <f>'Vstupy V'!J47*'Spolecne vstupy'!$H$19/'Spolecne vstupy'!J19</f>
        <v>0</v>
      </c>
      <c r="K73" s="53">
        <f>'Vstupy V'!K47*'Spolecne vstupy'!$H$19/'Spolecne vstupy'!K19</f>
        <v>0</v>
      </c>
      <c r="L73" s="53">
        <f>'Vstupy V'!L47*'Spolecne vstupy'!$H$19/'Spolecne vstupy'!L19</f>
        <v>0</v>
      </c>
      <c r="M73" s="53">
        <f>'Vstupy V'!M47*'Spolecne vstupy'!$H$19/'Spolecne vstupy'!M19</f>
        <v>0</v>
      </c>
      <c r="N73" s="53">
        <f>'Vstupy V'!N47*'Spolecne vstupy'!$H$19/'Spolecne vstupy'!N19</f>
        <v>0</v>
      </c>
      <c r="O73" s="53">
        <f>'Vstupy V'!O47*'Spolecne vstupy'!$H$19/'Spolecne vstupy'!O19</f>
        <v>0</v>
      </c>
      <c r="P73" s="53">
        <f>'Vstupy V'!P47*'Spolecne vstupy'!$H$19/'Spolecne vstupy'!P19</f>
        <v>0</v>
      </c>
    </row>
    <row r="74" spans="2:16" ht="12">
      <c r="B74" s="44" t="str">
        <f>CONCATENATE(Slovnik!$G$9,"  ",I2)</f>
        <v>uskutečněných v roce  2024</v>
      </c>
      <c r="C74" s="44"/>
      <c r="D74" s="44"/>
      <c r="E74" s="44"/>
      <c r="F74" s="53"/>
      <c r="G74" s="53"/>
      <c r="H74" s="53"/>
      <c r="I74" s="53">
        <f>'Vstupy V'!I49*'Spolecne vstupy'!$I$19/'Spolecne vstupy'!I19</f>
        <v>0</v>
      </c>
      <c r="J74" s="53">
        <f>'Vstupy V'!J49*'Spolecne vstupy'!$I$19/'Spolecne vstupy'!J19</f>
        <v>0</v>
      </c>
      <c r="K74" s="53">
        <f>'Vstupy V'!K49*'Spolecne vstupy'!$I$19/'Spolecne vstupy'!K19</f>
        <v>0</v>
      </c>
      <c r="L74" s="53">
        <f>'Vstupy V'!L49*'Spolecne vstupy'!$I$19/'Spolecne vstupy'!L19</f>
        <v>0</v>
      </c>
      <c r="M74" s="53">
        <f>'Vstupy V'!M49*'Spolecne vstupy'!$I$19/'Spolecne vstupy'!M19</f>
        <v>0</v>
      </c>
      <c r="N74" s="53">
        <f>'Vstupy V'!N49*'Spolecne vstupy'!$I$19/'Spolecne vstupy'!N19</f>
        <v>0</v>
      </c>
      <c r="O74" s="53">
        <f>'Vstupy V'!O49*'Spolecne vstupy'!$I$19/'Spolecne vstupy'!O19</f>
        <v>0</v>
      </c>
      <c r="P74" s="53">
        <f>'Vstupy V'!P49*'Spolecne vstupy'!$I$19/'Spolecne vstupy'!P19</f>
        <v>0</v>
      </c>
    </row>
    <row r="75" spans="2:16" ht="12">
      <c r="B75" s="44" t="str">
        <f>CONCATENATE(Slovnik!$G$9,"  ",J2)</f>
        <v>uskutečněných v roce  2025</v>
      </c>
      <c r="C75" s="44"/>
      <c r="D75" s="44"/>
      <c r="E75" s="44"/>
      <c r="F75" s="53"/>
      <c r="G75" s="53"/>
      <c r="H75" s="53"/>
      <c r="I75" s="53"/>
      <c r="J75" s="53">
        <f>'Vstupy V'!J51*'Spolecne vstupy'!$J$19/'Spolecne vstupy'!J19</f>
        <v>0</v>
      </c>
      <c r="K75" s="53">
        <f>'Vstupy V'!K51*'Spolecne vstupy'!$J$19/'Spolecne vstupy'!K19</f>
        <v>0</v>
      </c>
      <c r="L75" s="53">
        <f>'Vstupy V'!L51*'Spolecne vstupy'!$J$19/'Spolecne vstupy'!L19</f>
        <v>0</v>
      </c>
      <c r="M75" s="53">
        <f>'Vstupy V'!M51*'Spolecne vstupy'!$J$19/'Spolecne vstupy'!M19</f>
        <v>0</v>
      </c>
      <c r="N75" s="53">
        <f>'Vstupy V'!N51*'Spolecne vstupy'!$J$19/'Spolecne vstupy'!N19</f>
        <v>0</v>
      </c>
      <c r="O75" s="53">
        <f>'Vstupy V'!O51*'Spolecne vstupy'!$J$19/'Spolecne vstupy'!O19</f>
        <v>0</v>
      </c>
      <c r="P75" s="53">
        <f>'Vstupy V'!P51*'Spolecne vstupy'!$J$19/'Spolecne vstupy'!P19</f>
        <v>0</v>
      </c>
    </row>
    <row r="76" spans="2:16" ht="12">
      <c r="B76" s="44" t="str">
        <f>CONCATENATE(Slovnik!$G$9,"  ",K2)</f>
        <v>uskutečněných v roce  2026</v>
      </c>
      <c r="C76" s="44"/>
      <c r="D76" s="44"/>
      <c r="E76" s="44"/>
      <c r="F76" s="53"/>
      <c r="G76" s="53"/>
      <c r="H76" s="53"/>
      <c r="I76" s="53"/>
      <c r="J76" s="53"/>
      <c r="K76" s="53">
        <f>'Vstupy V'!K53*'Spolecne vstupy'!$K$19/'Spolecne vstupy'!K19</f>
        <v>0</v>
      </c>
      <c r="L76" s="53">
        <f>'Vstupy V'!L53*'Spolecne vstupy'!$K$19/'Spolecne vstupy'!L19</f>
        <v>0</v>
      </c>
      <c r="M76" s="53">
        <f>'Vstupy V'!M53*'Spolecne vstupy'!$K$19/'Spolecne vstupy'!M19</f>
        <v>0</v>
      </c>
      <c r="N76" s="53">
        <f>'Vstupy V'!N53*'Spolecne vstupy'!$K$19/'Spolecne vstupy'!N19</f>
        <v>0</v>
      </c>
      <c r="O76" s="53">
        <f>'Vstupy V'!O53*'Spolecne vstupy'!$K$19/'Spolecne vstupy'!O19</f>
        <v>0</v>
      </c>
      <c r="P76" s="53">
        <f>'Vstupy V'!P53*'Spolecne vstupy'!$K$19/'Spolecne vstupy'!P19</f>
        <v>0</v>
      </c>
    </row>
    <row r="77" spans="2:16" ht="12">
      <c r="B77" s="44" t="str">
        <f>CONCATENATE(Slovnik!$G$9,"  ",L2)</f>
        <v>uskutečněných v roce  2027</v>
      </c>
      <c r="C77" s="44"/>
      <c r="D77" s="44"/>
      <c r="E77" s="44"/>
      <c r="F77" s="53"/>
      <c r="G77" s="53"/>
      <c r="H77" s="53"/>
      <c r="I77" s="53"/>
      <c r="J77" s="53"/>
      <c r="K77" s="53"/>
      <c r="L77" s="53">
        <f>'Vstupy V'!L55*'Spolecne vstupy'!$L$19/'Spolecne vstupy'!L19</f>
        <v>0</v>
      </c>
      <c r="M77" s="53">
        <f>'Vstupy V'!M55*'Spolecne vstupy'!$L$19/'Spolecne vstupy'!M19</f>
        <v>0</v>
      </c>
      <c r="N77" s="53">
        <f>'Vstupy V'!N55*'Spolecne vstupy'!$L$19/'Spolecne vstupy'!N19</f>
        <v>0</v>
      </c>
      <c r="O77" s="53">
        <f>'Vstupy V'!O55*'Spolecne vstupy'!$L$19/'Spolecne vstupy'!O19</f>
        <v>0</v>
      </c>
      <c r="P77" s="53">
        <f>'Vstupy V'!P55*'Spolecne vstupy'!$L$19/'Spolecne vstupy'!P19</f>
        <v>0</v>
      </c>
    </row>
    <row r="78" spans="2:16" ht="12">
      <c r="B78" s="44" t="str">
        <f>CONCATENATE(Slovnik!$G$9,"  ",M2)</f>
        <v>uskutečněných v roce  2028</v>
      </c>
      <c r="C78" s="44"/>
      <c r="D78" s="44"/>
      <c r="E78" s="44"/>
      <c r="F78" s="53"/>
      <c r="G78" s="53"/>
      <c r="H78" s="53"/>
      <c r="I78" s="53"/>
      <c r="J78" s="53"/>
      <c r="K78" s="53"/>
      <c r="L78" s="53"/>
      <c r="M78" s="53">
        <f>'Vstupy V'!M57*'Spolecne vstupy'!$M$19/'Spolecne vstupy'!M19</f>
        <v>0</v>
      </c>
      <c r="N78" s="53">
        <f>'Vstupy V'!N57*'Spolecne vstupy'!$M$19/'Spolecne vstupy'!N19</f>
        <v>0</v>
      </c>
      <c r="O78" s="53">
        <f>'Vstupy V'!O57*'Spolecne vstupy'!$M$19/'Spolecne vstupy'!O19</f>
        <v>0</v>
      </c>
      <c r="P78" s="53">
        <f>'Vstupy V'!P57*'Spolecne vstupy'!$M$19/'Spolecne vstupy'!P19</f>
        <v>0</v>
      </c>
    </row>
    <row r="79" spans="2:16" ht="12">
      <c r="B79" s="44" t="str">
        <f>CONCATENATE(Slovnik!$G$9,"  ",N2)</f>
        <v>uskutečněných v roce  2029</v>
      </c>
      <c r="C79" s="44"/>
      <c r="D79" s="44"/>
      <c r="E79" s="44"/>
      <c r="F79" s="53"/>
      <c r="G79" s="53"/>
      <c r="H79" s="53"/>
      <c r="I79" s="53"/>
      <c r="J79" s="53"/>
      <c r="K79" s="53"/>
      <c r="L79" s="53"/>
      <c r="M79" s="53"/>
      <c r="N79" s="53">
        <f>'Vstupy V'!N59*'Spolecne vstupy'!$N$19/'Spolecne vstupy'!N19</f>
        <v>0</v>
      </c>
      <c r="O79" s="53">
        <f>'Vstupy V'!O59*'Spolecne vstupy'!$N$19/'Spolecne vstupy'!O19</f>
        <v>0</v>
      </c>
      <c r="P79" s="53">
        <f>'Vstupy V'!P59*'Spolecne vstupy'!$N$19/'Spolecne vstupy'!P19</f>
        <v>0</v>
      </c>
    </row>
    <row r="80" spans="2:16" ht="12">
      <c r="B80" s="44" t="str">
        <f>CONCATENATE(Slovnik!$G$9,"  ",O2)</f>
        <v>uskutečněných v roce  2030</v>
      </c>
      <c r="C80" s="44"/>
      <c r="D80" s="44"/>
      <c r="E80" s="44"/>
      <c r="F80" s="53"/>
      <c r="G80" s="53"/>
      <c r="H80" s="53"/>
      <c r="I80" s="53"/>
      <c r="J80" s="53"/>
      <c r="K80" s="53"/>
      <c r="L80" s="53"/>
      <c r="M80" s="53"/>
      <c r="N80" s="53"/>
      <c r="O80" s="53">
        <f>'Vstupy V'!O61*'Spolecne vstupy'!$O$19/'Spolecne vstupy'!O19</f>
        <v>0</v>
      </c>
      <c r="P80" s="53">
        <f>'Vstupy V'!P61*'Spolecne vstupy'!$O$19/'Spolecne vstupy'!P19</f>
        <v>0</v>
      </c>
    </row>
    <row r="81" spans="2:16" ht="12">
      <c r="B81" s="45" t="str">
        <f>CONCATENATE(Slovnik!$G$9,"  ",P2)</f>
        <v>uskutečněných v roce  2031</v>
      </c>
      <c r="C81" s="45"/>
      <c r="D81" s="45"/>
      <c r="E81" s="45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f>'Vstupy V'!P63*'Spolecne vstupy'!$P$19/'Spolecne vstupy'!P19</f>
        <v>0</v>
      </c>
    </row>
    <row r="82" spans="6:16" ht="12">
      <c r="F82" s="32">
        <f>SUM(F71:F81)</f>
        <v>0</v>
      </c>
      <c r="G82" s="32">
        <f aca="true" t="shared" si="20" ref="G82:P82">SUM(G71:G81)</f>
        <v>0</v>
      </c>
      <c r="H82" s="32">
        <f t="shared" si="20"/>
        <v>0</v>
      </c>
      <c r="I82" s="32">
        <f t="shared" si="20"/>
        <v>0</v>
      </c>
      <c r="J82" s="32">
        <f t="shared" si="20"/>
        <v>0</v>
      </c>
      <c r="K82" s="32">
        <f t="shared" si="20"/>
        <v>0</v>
      </c>
      <c r="L82" s="32">
        <f t="shared" si="20"/>
        <v>0</v>
      </c>
      <c r="M82" s="32">
        <f t="shared" si="20"/>
        <v>0</v>
      </c>
      <c r="N82" s="32">
        <f t="shared" si="20"/>
        <v>0</v>
      </c>
      <c r="O82" s="32">
        <f t="shared" si="20"/>
        <v>0</v>
      </c>
      <c r="P82" s="32">
        <f t="shared" si="20"/>
        <v>0</v>
      </c>
    </row>
    <row r="83" ht="12"/>
    <row r="84" ht="12"/>
    <row r="85" ht="12"/>
  </sheetData>
  <sheetProtection password="97A7" sheet="1" objects="1" scenarios="1" formatColumns="0" formatRows="0"/>
  <conditionalFormatting sqref="G2:P2">
    <cfRule type="expression" priority="1" dxfId="2" stopIfTrue="1">
      <formula>G$1=1</formula>
    </cfRule>
    <cfRule type="expression" priority="2" dxfId="1" stopIfTrue="1">
      <formula>G$1=2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indexed="44"/>
    <pageSetUpPr fitToPage="1"/>
  </sheetPr>
  <dimension ref="A2:P73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2" width="4.57421875" style="1" customWidth="1"/>
    <col min="3" max="3" width="60.57421875" style="1" customWidth="1"/>
    <col min="4" max="4" width="9.8515625" style="18" customWidth="1"/>
    <col min="5" max="16" width="10.140625" style="1" customWidth="1"/>
    <col min="17" max="17" width="4.57421875" style="1" customWidth="1"/>
    <col min="18" max="16384" width="9.140625" style="1" hidden="1" customWidth="1"/>
  </cols>
  <sheetData>
    <row r="1" ht="14.25"/>
    <row r="2" spans="3:7" ht="23.25" customHeight="1">
      <c r="C2" s="2" t="str">
        <f>IF(CZ_EN=1,VLOOKUP("VÝSTUPY - VODNÉ",Slovnik,1,0),VLOOKUP("VÝSTUPY - VODNÉ",Slovnik,2,0))</f>
        <v>VÝSTUPY - VODNÉ</v>
      </c>
      <c r="F2" s="307"/>
      <c r="G2" s="18" t="str">
        <f>IF(CZ_EN=1,VLOOKUP("budoucnost",Slovnik,1,0),VLOOKUP("budoucnost",Slovnik,2,0))</f>
        <v>budoucnost</v>
      </c>
    </row>
    <row r="3" ht="14.25">
      <c r="F3" s="307"/>
    </row>
    <row r="4" spans="2:16" ht="14.25">
      <c r="B4" s="124" t="s">
        <v>2</v>
      </c>
      <c r="C4" s="124" t="str">
        <f>IF(CZ_EN=1,VLOOKUP("ZMĚNY V REHOM",Slovnik,1,0),VLOOKUP("ZMĚNY V REHOM",Slovnik,2,0))</f>
        <v>ZMĚNY V REHOM</v>
      </c>
      <c r="D4" s="125"/>
      <c r="E4" s="126"/>
      <c r="F4" s="316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ht="14.25">
      <c r="F5" s="317"/>
    </row>
    <row r="6" spans="3:16" ht="14.25">
      <c r="C6" s="37" t="str">
        <f>'Vypocty V'!B12</f>
        <v>Přidělený provozní NEBO infrastrukturní majetek</v>
      </c>
      <c r="D6" s="10" t="str">
        <f>'Spolecne vstupy'!$C$17</f>
        <v>rok</v>
      </c>
      <c r="E6" s="217">
        <f>F6-1</f>
        <v>2020</v>
      </c>
      <c r="F6" s="308">
        <f>current</f>
        <v>2021</v>
      </c>
      <c r="G6" s="135">
        <f>F6+1</f>
        <v>2022</v>
      </c>
      <c r="H6" s="135">
        <f aca="true" t="shared" si="0" ref="H6:P6">G6+1</f>
        <v>2023</v>
      </c>
      <c r="I6" s="135">
        <f t="shared" si="0"/>
        <v>2024</v>
      </c>
      <c r="J6" s="135">
        <f t="shared" si="0"/>
        <v>2025</v>
      </c>
      <c r="K6" s="135">
        <f t="shared" si="0"/>
        <v>2026</v>
      </c>
      <c r="L6" s="135">
        <f t="shared" si="0"/>
        <v>2027</v>
      </c>
      <c r="M6" s="135">
        <f t="shared" si="0"/>
        <v>2028</v>
      </c>
      <c r="N6" s="135">
        <f t="shared" si="0"/>
        <v>2029</v>
      </c>
      <c r="O6" s="135">
        <f t="shared" si="0"/>
        <v>2030</v>
      </c>
      <c r="P6" s="135">
        <f t="shared" si="0"/>
        <v>2031</v>
      </c>
    </row>
    <row r="7" spans="3:16" ht="14.25">
      <c r="C7" s="41" t="str">
        <f>'Vypocty V'!B7</f>
        <v>Investice</v>
      </c>
      <c r="D7" s="56" t="str">
        <f>'Vstupy V'!$D$6</f>
        <v>tis. Kč</v>
      </c>
      <c r="E7" s="218">
        <f>'Vypocty V'!E16</f>
        <v>0</v>
      </c>
      <c r="F7" s="309">
        <f>'Vypocty V'!F16</f>
        <v>0</v>
      </c>
      <c r="G7" s="43">
        <f>'Vypocty V'!G16</f>
        <v>0</v>
      </c>
      <c r="H7" s="43">
        <f>'Vypocty V'!H16</f>
        <v>0</v>
      </c>
      <c r="I7" s="43">
        <f>'Vypocty V'!I16</f>
        <v>0</v>
      </c>
      <c r="J7" s="43">
        <f>'Vypocty V'!J16</f>
        <v>0</v>
      </c>
      <c r="K7" s="43">
        <f>'Vypocty V'!K16</f>
        <v>0</v>
      </c>
      <c r="L7" s="43">
        <f>'Vypocty V'!L16</f>
        <v>0</v>
      </c>
      <c r="M7" s="43">
        <f>'Vypocty V'!M16</f>
        <v>0</v>
      </c>
      <c r="N7" s="43">
        <f>'Vypocty V'!N16</f>
        <v>0</v>
      </c>
      <c r="O7" s="43">
        <f>'Vypocty V'!O16</f>
        <v>0</v>
      </c>
      <c r="P7" s="43">
        <f>'Vypocty V'!P16</f>
        <v>0</v>
      </c>
    </row>
    <row r="8" spans="3:16" ht="14.25">
      <c r="C8" s="44" t="str">
        <f>'Vypocty V'!B5</f>
        <v>Odpisy</v>
      </c>
      <c r="D8" s="57" t="str">
        <f>'Vstupy V'!$D$6</f>
        <v>tis. Kč</v>
      </c>
      <c r="E8" s="219">
        <f>'Vypocty V'!E14+'Vypocty V'!E17</f>
        <v>0</v>
      </c>
      <c r="F8" s="310">
        <f>'Vypocty V'!F14+'Vypocty V'!F17</f>
        <v>0</v>
      </c>
      <c r="G8" s="19">
        <f>'Vypocty V'!G14+'Vypocty V'!G17</f>
        <v>0</v>
      </c>
      <c r="H8" s="19">
        <f>'Vypocty V'!H14+'Vypocty V'!H17</f>
        <v>0</v>
      </c>
      <c r="I8" s="19">
        <f>'Vypocty V'!I14+'Vypocty V'!I17</f>
        <v>0</v>
      </c>
      <c r="J8" s="19">
        <f>'Vypocty V'!J14+'Vypocty V'!J17</f>
        <v>0</v>
      </c>
      <c r="K8" s="19">
        <f>'Vypocty V'!K14+'Vypocty V'!K17</f>
        <v>0</v>
      </c>
      <c r="L8" s="19">
        <f>'Vypocty V'!L14+'Vypocty V'!L17</f>
        <v>0</v>
      </c>
      <c r="M8" s="19">
        <f>'Vypocty V'!M14+'Vypocty V'!M17</f>
        <v>0</v>
      </c>
      <c r="N8" s="19">
        <f>'Vypocty V'!N14+'Vypocty V'!N17</f>
        <v>0</v>
      </c>
      <c r="O8" s="19">
        <f>'Vypocty V'!O14+'Vypocty V'!O17</f>
        <v>0</v>
      </c>
      <c r="P8" s="19">
        <f>'Vypocty V'!P14+'Vypocty V'!P17</f>
        <v>0</v>
      </c>
    </row>
    <row r="9" spans="3:16" ht="14.25">
      <c r="C9" s="249" t="str">
        <f>'Vypocty V'!B6</f>
        <v>Odprodej</v>
      </c>
      <c r="D9" s="249" t="str">
        <f>'Vstupy V'!$D$6</f>
        <v>tis. Kč</v>
      </c>
      <c r="E9" s="212">
        <f>'Vypocty V'!E15</f>
        <v>0</v>
      </c>
      <c r="F9" s="311">
        <f>'Vypocty V'!F15</f>
        <v>0</v>
      </c>
      <c r="G9" s="47">
        <f>'Vypocty V'!G15</f>
        <v>0</v>
      </c>
      <c r="H9" s="47">
        <f>'Vypocty V'!H15</f>
        <v>0</v>
      </c>
      <c r="I9" s="47">
        <f>'Vypocty V'!I15</f>
        <v>0</v>
      </c>
      <c r="J9" s="47">
        <f>'Vypocty V'!J15</f>
        <v>0</v>
      </c>
      <c r="K9" s="47">
        <f>'Vypocty V'!K15</f>
        <v>0</v>
      </c>
      <c r="L9" s="47">
        <f>'Vypocty V'!L15</f>
        <v>0</v>
      </c>
      <c r="M9" s="47">
        <f>'Vypocty V'!M15</f>
        <v>0</v>
      </c>
      <c r="N9" s="47">
        <f>'Vypocty V'!N15</f>
        <v>0</v>
      </c>
      <c r="O9" s="47">
        <f>'Vypocty V'!O15</f>
        <v>0</v>
      </c>
      <c r="P9" s="47">
        <f>'Vypocty V'!P15</f>
        <v>0</v>
      </c>
    </row>
    <row r="10" ht="14.25">
      <c r="F10" s="307"/>
    </row>
    <row r="11" spans="3:6" ht="14.25">
      <c r="C11" s="37" t="str">
        <f>IF(CZ_EN=1,VLOOKUP("Provozní majetek - přidělený",Slovnik,1,0),VLOOKUP("Provozní majetek - přidělený",Slovnik,2,0))</f>
        <v>Provozní majetek - přidělený</v>
      </c>
      <c r="F11" s="307"/>
    </row>
    <row r="12" spans="3:16" ht="14.25">
      <c r="C12" s="41" t="str">
        <f>C7</f>
        <v>Investice</v>
      </c>
      <c r="D12" s="56" t="str">
        <f>'Vstupy V'!$D$6</f>
        <v>tis. Kč</v>
      </c>
      <c r="E12" s="218">
        <f>'Vypocty V'!E7*'Vstupy V'!E70</f>
        <v>0</v>
      </c>
      <c r="F12" s="309">
        <f>'Vypocty V'!F7*'Vstupy V'!F70</f>
        <v>0</v>
      </c>
      <c r="G12" s="43">
        <f>'Vypocty V'!G7*'Vstupy V'!G70</f>
        <v>0</v>
      </c>
      <c r="H12" s="43">
        <f>'Vypocty V'!H7*'Vstupy V'!H70</f>
        <v>0</v>
      </c>
      <c r="I12" s="43">
        <f>'Vypocty V'!I7*'Vstupy V'!I70</f>
        <v>0</v>
      </c>
      <c r="J12" s="43">
        <f>'Vypocty V'!J7*'Vstupy V'!J70</f>
        <v>0</v>
      </c>
      <c r="K12" s="43">
        <f>'Vypocty V'!K7*'Vstupy V'!K70</f>
        <v>0</v>
      </c>
      <c r="L12" s="43">
        <f>'Vypocty V'!L7*'Vstupy V'!L70</f>
        <v>0</v>
      </c>
      <c r="M12" s="43">
        <f>'Vypocty V'!M7*'Vstupy V'!M70</f>
        <v>0</v>
      </c>
      <c r="N12" s="43">
        <f>'Vypocty V'!N7*'Vstupy V'!N70</f>
        <v>0</v>
      </c>
      <c r="O12" s="43">
        <f>'Vypocty V'!O7*'Vstupy V'!O70</f>
        <v>0</v>
      </c>
      <c r="P12" s="43">
        <f>'Vypocty V'!P7*'Vstupy V'!P70</f>
        <v>0</v>
      </c>
    </row>
    <row r="13" spans="3:16" ht="14.25">
      <c r="C13" s="44" t="str">
        <f>C8</f>
        <v>Odpisy</v>
      </c>
      <c r="D13" s="57" t="str">
        <f>'Vstupy V'!$D$6</f>
        <v>tis. Kč</v>
      </c>
      <c r="E13" s="219">
        <f>('Vypocty V'!E5+'Vypocty V'!E8)*'Vstupy V'!E70</f>
        <v>0</v>
      </c>
      <c r="F13" s="310">
        <f>('Vypocty V'!F5+'Vypocty V'!F8)*'Vstupy V'!F70</f>
        <v>0</v>
      </c>
      <c r="G13" s="19">
        <f>('Vypocty V'!G5+'Vypocty V'!G8)*'Vstupy V'!G70</f>
        <v>0</v>
      </c>
      <c r="H13" s="19">
        <f>('Vypocty V'!H5+'Vypocty V'!H8)*'Vstupy V'!H70</f>
        <v>0</v>
      </c>
      <c r="I13" s="19">
        <f>('Vypocty V'!I5+'Vypocty V'!I8)*'Vstupy V'!I70</f>
        <v>0</v>
      </c>
      <c r="J13" s="19">
        <f>('Vypocty V'!J5+'Vypocty V'!J8)*'Vstupy V'!J70</f>
        <v>0</v>
      </c>
      <c r="K13" s="19">
        <f>('Vypocty V'!K5+'Vypocty V'!K8)*'Vstupy V'!K70</f>
        <v>0</v>
      </c>
      <c r="L13" s="19">
        <f>('Vypocty V'!L5+'Vypocty V'!L8)*'Vstupy V'!L70</f>
        <v>0</v>
      </c>
      <c r="M13" s="19">
        <f>('Vypocty V'!M5+'Vypocty V'!M8)*'Vstupy V'!M70</f>
        <v>0</v>
      </c>
      <c r="N13" s="19">
        <f>('Vypocty V'!N5+'Vypocty V'!N8)*'Vstupy V'!N70</f>
        <v>0</v>
      </c>
      <c r="O13" s="19">
        <f>('Vypocty V'!O5+'Vypocty V'!O8)*'Vstupy V'!O70</f>
        <v>0</v>
      </c>
      <c r="P13" s="19">
        <f>('Vypocty V'!P5+'Vypocty V'!P8)*'Vstupy V'!P70</f>
        <v>0</v>
      </c>
    </row>
    <row r="14" spans="3:16" ht="14.25">
      <c r="C14" s="249" t="str">
        <f>C9</f>
        <v>Odprodej</v>
      </c>
      <c r="D14" s="249" t="str">
        <f>'Vstupy V'!$D$6</f>
        <v>tis. Kč</v>
      </c>
      <c r="E14" s="212">
        <f>'Vypocty V'!E6*'Vstupy V'!E70</f>
        <v>0</v>
      </c>
      <c r="F14" s="311">
        <f>'Vypocty V'!F6*'Vstupy V'!F70</f>
        <v>0</v>
      </c>
      <c r="G14" s="47">
        <f>'Vypocty V'!G6*'Vstupy V'!G70</f>
        <v>0</v>
      </c>
      <c r="H14" s="47">
        <f>'Vypocty V'!H6*'Vstupy V'!H70</f>
        <v>0</v>
      </c>
      <c r="I14" s="47">
        <f>'Vypocty V'!I6*'Vstupy V'!I70</f>
        <v>0</v>
      </c>
      <c r="J14" s="47">
        <f>'Vypocty V'!J6*'Vstupy V'!J70</f>
        <v>0</v>
      </c>
      <c r="K14" s="47">
        <f>'Vypocty V'!K6*'Vstupy V'!K70</f>
        <v>0</v>
      </c>
      <c r="L14" s="47">
        <f>'Vypocty V'!L6*'Vstupy V'!L70</f>
        <v>0</v>
      </c>
      <c r="M14" s="47">
        <f>'Vypocty V'!M6*'Vstupy V'!M70</f>
        <v>0</v>
      </c>
      <c r="N14" s="47">
        <f>'Vypocty V'!N6*'Vstupy V'!N70</f>
        <v>0</v>
      </c>
      <c r="O14" s="47">
        <f>'Vypocty V'!O6*'Vstupy V'!O70</f>
        <v>0</v>
      </c>
      <c r="P14" s="47">
        <f>'Vypocty V'!P6*'Vstupy V'!P70</f>
        <v>0</v>
      </c>
    </row>
    <row r="15" ht="14.25">
      <c r="F15" s="317"/>
    </row>
    <row r="16" spans="2:16" ht="14.25">
      <c r="B16" s="124" t="s">
        <v>8</v>
      </c>
      <c r="C16" s="124" t="str">
        <f>IF(CZ_EN=1,VLOOKUP("REGULATORNÍ HODNOTA KAPITÁLU",Slovnik,1,0),VLOOKUP("REGULATORNÍ HODNOTA KAPITÁLU",Slovnik,2,0))</f>
        <v>REGULATORNÍ HODNOTA KAPITÁLU</v>
      </c>
      <c r="D16" s="125"/>
      <c r="E16" s="126"/>
      <c r="F16" s="316"/>
      <c r="G16" s="127">
        <f>'Vstupy V'!G1</f>
        <v>1</v>
      </c>
      <c r="H16" s="127">
        <f>'Vstupy V'!H1</f>
        <v>1</v>
      </c>
      <c r="I16" s="127">
        <f>'Vstupy V'!I1</f>
        <v>1</v>
      </c>
      <c r="J16" s="127">
        <f>'Vstupy V'!J1</f>
        <v>1</v>
      </c>
      <c r="K16" s="127">
        <f>'Vstupy V'!K1</f>
        <v>1</v>
      </c>
      <c r="L16" s="127">
        <f>'Vstupy V'!L1</f>
        <v>2</v>
      </c>
      <c r="M16" s="127">
        <f>'Vstupy V'!M1</f>
        <v>2</v>
      </c>
      <c r="N16" s="127">
        <f>'Vstupy V'!N1</f>
        <v>2</v>
      </c>
      <c r="O16" s="127">
        <f>'Vstupy V'!O1</f>
        <v>2</v>
      </c>
      <c r="P16" s="127">
        <f>'Vstupy V'!P1</f>
        <v>2</v>
      </c>
    </row>
    <row r="17" spans="2:16" ht="14.25">
      <c r="B17" s="18"/>
      <c r="C17" s="18"/>
      <c r="D17" s="10" t="str">
        <f>'Spolecne vstupy'!$C$17</f>
        <v>rok</v>
      </c>
      <c r="E17" s="217">
        <f>F17-1</f>
        <v>2020</v>
      </c>
      <c r="F17" s="308">
        <f>current</f>
        <v>2021</v>
      </c>
      <c r="G17" s="135">
        <f>F17+1</f>
        <v>2022</v>
      </c>
      <c r="H17" s="135">
        <f aca="true" t="shared" si="1" ref="H17:P17">G17+1</f>
        <v>2023</v>
      </c>
      <c r="I17" s="135">
        <f t="shared" si="1"/>
        <v>2024</v>
      </c>
      <c r="J17" s="135">
        <f t="shared" si="1"/>
        <v>2025</v>
      </c>
      <c r="K17" s="135">
        <f t="shared" si="1"/>
        <v>2026</v>
      </c>
      <c r="L17" s="135">
        <f t="shared" si="1"/>
        <v>2027</v>
      </c>
      <c r="M17" s="135">
        <f t="shared" si="1"/>
        <v>2028</v>
      </c>
      <c r="N17" s="135">
        <f t="shared" si="1"/>
        <v>2029</v>
      </c>
      <c r="O17" s="135">
        <f t="shared" si="1"/>
        <v>2030</v>
      </c>
      <c r="P17" s="135">
        <f t="shared" si="1"/>
        <v>2031</v>
      </c>
    </row>
    <row r="18" spans="2:16" ht="14.25">
      <c r="B18" s="18" t="s">
        <v>42</v>
      </c>
      <c r="C18" s="41" t="str">
        <f>IF(CZ_EN=1,VLOOKUP("Regulatorní hodnota majetku - přidělený provozní NEBO infrastrukturní",Slovnik,1,0),VLOOKUP("Regulatorní hodnota majetku - přidělený provozní NEBO infrastrukturní",Slovnik,2,0))</f>
        <v>Regulatorní hodnota majetku - přidělený provozní NEBO infrastrukturní</v>
      </c>
      <c r="D18" s="56" t="str">
        <f>'Vstupy V'!$D$6</f>
        <v>tis. Kč</v>
      </c>
      <c r="E18" s="218">
        <f>'Vypocty V'!E18</f>
        <v>0</v>
      </c>
      <c r="F18" s="309">
        <f>'Vypocty V'!F18</f>
        <v>0</v>
      </c>
      <c r="G18" s="43">
        <f>'Vypocty V'!G18</f>
        <v>0</v>
      </c>
      <c r="H18" s="43">
        <f>'Vypocty V'!H18</f>
        <v>0</v>
      </c>
      <c r="I18" s="43">
        <f>'Vypocty V'!I18</f>
        <v>0</v>
      </c>
      <c r="J18" s="43">
        <f>'Vypocty V'!J18</f>
        <v>0</v>
      </c>
      <c r="K18" s="43">
        <f>'Vypocty V'!K18</f>
        <v>0</v>
      </c>
      <c r="L18" s="43">
        <f>'Vypocty V'!L18</f>
        <v>0</v>
      </c>
      <c r="M18" s="43">
        <f>'Vypocty V'!M18</f>
        <v>0</v>
      </c>
      <c r="N18" s="43">
        <f>'Vypocty V'!N18</f>
        <v>0</v>
      </c>
      <c r="O18" s="43">
        <f>'Vypocty V'!O18</f>
        <v>0</v>
      </c>
      <c r="P18" s="43">
        <f>'Vypocty V'!P18</f>
        <v>0</v>
      </c>
    </row>
    <row r="19" spans="2:16" ht="14.25">
      <c r="B19" s="18" t="s">
        <v>43</v>
      </c>
      <c r="C19" s="44" t="str">
        <f>IF(CZ_EN=1,VLOOKUP("Regulatorní hodnota majetku - provozní",Slovnik,1,0),VLOOKUP("Regulatorní hodnota majetku - provozní",Slovnik,2,0))</f>
        <v>Regulatorní hodnota majetku - provozní</v>
      </c>
      <c r="D19" s="57" t="str">
        <f>'Vstupy V'!$D$6</f>
        <v>tis. Kč</v>
      </c>
      <c r="E19" s="219">
        <f>'Vypocty V'!E10</f>
        <v>0</v>
      </c>
      <c r="F19" s="310">
        <f>'Vypocty V'!F10</f>
        <v>0</v>
      </c>
      <c r="G19" s="19">
        <f>'Vypocty V'!G10</f>
        <v>0</v>
      </c>
      <c r="H19" s="19">
        <f>'Vypocty V'!H10</f>
        <v>0</v>
      </c>
      <c r="I19" s="19">
        <f>'Vypocty V'!I10</f>
        <v>0</v>
      </c>
      <c r="J19" s="19">
        <f>'Vypocty V'!J10</f>
        <v>0</v>
      </c>
      <c r="K19" s="19">
        <f>'Vypocty V'!K10</f>
        <v>0</v>
      </c>
      <c r="L19" s="19">
        <f>'Vypocty V'!L10</f>
        <v>0</v>
      </c>
      <c r="M19" s="19">
        <f>'Vypocty V'!M10</f>
        <v>0</v>
      </c>
      <c r="N19" s="19">
        <f>'Vypocty V'!N10</f>
        <v>0</v>
      </c>
      <c r="O19" s="19">
        <f>'Vypocty V'!O10</f>
        <v>0</v>
      </c>
      <c r="P19" s="19">
        <f>'Vypocty V'!P10</f>
        <v>0</v>
      </c>
    </row>
    <row r="20" spans="2:16" ht="14.25">
      <c r="B20" s="23" t="str">
        <f>B21</f>
        <v>3.</v>
      </c>
      <c r="C20" s="23" t="str">
        <f>IF(CZ_EN=1,VLOOKUP("Pracovní kapitál",Slovnik,1,0),VLOOKUP("Pracovní kapitál",Slovnik,2,0))</f>
        <v>Pracovní kapitál</v>
      </c>
      <c r="D20" s="23" t="str">
        <f>'Vstupy V'!$D$6</f>
        <v>tis. Kč</v>
      </c>
      <c r="E20" s="219">
        <f>'Vypocty V'!E53-'Vystupy V'!E18-'Vystupy V'!E19-'Vystupy V'!E22</f>
        <v>0</v>
      </c>
      <c r="F20" s="310">
        <f>'Vypocty V'!F53-'Vystupy V'!F18-'Vystupy V'!F19-'Vystupy V'!F22</f>
        <v>0</v>
      </c>
      <c r="G20" s="19">
        <f>'Vypocty V'!G53-'Vystupy V'!G18-'Vystupy V'!G19-'Vystupy V'!G22</f>
        <v>744.2773084215668</v>
      </c>
      <c r="H20" s="19">
        <f>'Vypocty V'!H53-'Vystupy V'!H18-'Vystupy V'!H19-'Vystupy V'!H22</f>
        <v>758.7758196808628</v>
      </c>
      <c r="I20" s="19">
        <f>'Vypocty V'!I53-'Vystupy V'!I18-'Vystupy V'!I19-'Vystupy V'!I22</f>
        <v>782.9400051130194</v>
      </c>
      <c r="J20" s="19">
        <f>'Vypocty V'!J53-'Vystupy V'!J18-'Vystupy V'!J19-'Vystupy V'!J22</f>
        <v>807.104190545176</v>
      </c>
      <c r="K20" s="19">
        <f>'Vypocty V'!K53-'Vystupy V'!K18-'Vystupy V'!K19-'Vystupy V'!K22</f>
        <v>831.2683759773327</v>
      </c>
      <c r="L20" s="19">
        <f>'Vypocty V'!L53-'Vystupy V'!L18-'Vystupy V'!L19-'Vystupy V'!L22</f>
        <v>831.2683759773327</v>
      </c>
      <c r="M20" s="19">
        <f>'Vypocty V'!M53-'Vystupy V'!M18-'Vystupy V'!M19-'Vystupy V'!M22</f>
        <v>831.2683759773327</v>
      </c>
      <c r="N20" s="19">
        <f>'Vypocty V'!N53-'Vystupy V'!N18-'Vystupy V'!N19-'Vystupy V'!N22</f>
        <v>831.2683759773327</v>
      </c>
      <c r="O20" s="19">
        <f>'Vypocty V'!O53-'Vystupy V'!O18-'Vystupy V'!O19-'Vystupy V'!O22</f>
        <v>831.2683759773327</v>
      </c>
      <c r="P20" s="19">
        <f>'Vypocty V'!P53-'Vystupy V'!P18-'Vystupy V'!P19-'Vystupy V'!P22</f>
        <v>831.2683759773327</v>
      </c>
    </row>
    <row r="21" spans="2:16" ht="13.5" hidden="1">
      <c r="B21" s="18" t="s">
        <v>46</v>
      </c>
      <c r="C21" s="44" t="str">
        <f>CONCATENATE(IF(CZ_EN=1,VLOOKUP("Pracovní kapitál",Slovnik,1,0),VLOOKUP("Pracovní kapitál",Slovnik,2,0))," ",IF(CZ_EN=1,VLOOKUP("bez příjmové části",Slovnik,1,0),VLOOKUP("bez příjmové části",Slovnik,2,0)))</f>
        <v>Pracovní kapitál bez příjmové části</v>
      </c>
      <c r="D21" s="57" t="str">
        <f>'Vstupy V'!$D$6</f>
        <v>tis. Kč</v>
      </c>
      <c r="E21" s="219">
        <f>'Vypocty V'!E24</f>
        <v>0</v>
      </c>
      <c r="F21" s="310">
        <f>'Vypocty V'!F24</f>
        <v>0</v>
      </c>
      <c r="G21" s="19">
        <f>'Vypocty V'!G24</f>
        <v>-120.04109589041096</v>
      </c>
      <c r="H21" s="19">
        <f>'Vypocty V'!H24</f>
        <v>-122.87671232876713</v>
      </c>
      <c r="I21" s="19">
        <f>'Vypocty V'!I24</f>
        <v>-127.6027397260274</v>
      </c>
      <c r="J21" s="19">
        <f>'Vypocty V'!J24</f>
        <v>-132.32876712328766</v>
      </c>
      <c r="K21" s="19">
        <f>'Vypocty V'!K24</f>
        <v>-137.05479452054794</v>
      </c>
      <c r="L21" s="19">
        <f>'Vypocty V'!L24</f>
        <v>-137.05479452054794</v>
      </c>
      <c r="M21" s="19">
        <f>'Vypocty V'!M24</f>
        <v>-137.05479452054794</v>
      </c>
      <c r="N21" s="19">
        <f>'Vypocty V'!N24</f>
        <v>-137.05479452054794</v>
      </c>
      <c r="O21" s="19">
        <f>'Vypocty V'!O24</f>
        <v>-137.05479452054794</v>
      </c>
      <c r="P21" s="19">
        <f>'Vypocty V'!P24</f>
        <v>-137.05479452054794</v>
      </c>
    </row>
    <row r="22" spans="2:16" ht="14.25">
      <c r="B22" s="18" t="s">
        <v>48</v>
      </c>
      <c r="C22" s="44" t="str">
        <f>IF(CZ_EN=1,VLOOKUP("Zbývající předplacené nájemné",Slovnik,1,0),VLOOKUP("Zbývající předplacené nájemné",Slovnik,2,0))</f>
        <v>Zbývající předplacené nájemné</v>
      </c>
      <c r="D22" s="57" t="str">
        <f>'Vstupy V'!$D$6</f>
        <v>tis. Kč</v>
      </c>
      <c r="E22" s="219">
        <f>'Vstupy V'!E74</f>
        <v>0</v>
      </c>
      <c r="F22" s="310">
        <f>'Vstupy V'!F74</f>
        <v>0</v>
      </c>
      <c r="G22" s="19">
        <f>'Vstupy V'!G74</f>
        <v>0</v>
      </c>
      <c r="H22" s="19">
        <f>'Vstupy V'!H74</f>
        <v>0</v>
      </c>
      <c r="I22" s="19">
        <f>'Vstupy V'!I74</f>
        <v>0</v>
      </c>
      <c r="J22" s="19">
        <f>'Vstupy V'!J74</f>
        <v>0</v>
      </c>
      <c r="K22" s="19">
        <f>'Vstupy V'!K74</f>
        <v>0</v>
      </c>
      <c r="L22" s="19">
        <f>'Vstupy V'!L74</f>
        <v>0</v>
      </c>
      <c r="M22" s="19">
        <f>'Vstupy V'!M74</f>
        <v>0</v>
      </c>
      <c r="N22" s="19">
        <f>'Vstupy V'!N74</f>
        <v>0</v>
      </c>
      <c r="O22" s="19">
        <f>'Vstupy V'!O74</f>
        <v>0</v>
      </c>
      <c r="P22" s="19">
        <f>'Vstupy V'!P74</f>
        <v>0</v>
      </c>
    </row>
    <row r="23" spans="2:16" ht="14.25">
      <c r="B23" s="18" t="s">
        <v>49</v>
      </c>
      <c r="C23" s="45" t="str">
        <f>IF(CZ_EN=1,VLOOKUP("Očekávání",Slovnik,1,0),VLOOKUP("Očekávání",Slovnik,2,0))</f>
        <v>Očekávání</v>
      </c>
      <c r="D23" s="58" t="str">
        <f>'Vstupy V'!$D$6</f>
        <v>tis. Kč</v>
      </c>
      <c r="E23" s="212">
        <f>IF('Vypocty V'!$D$32=1,'Vypocty V'!E33,'Vypocty V'!E36)</f>
        <v>0</v>
      </c>
      <c r="F23" s="311">
        <f>IF('Vypocty V'!$D$32=1,'Vypocty V'!F33,'Vypocty V'!F36)</f>
        <v>0</v>
      </c>
      <c r="G23" s="47">
        <f>IF('Vypocty V'!$D$32=1,'Vypocty V'!G33,'Vypocty V'!G36)</f>
        <v>0</v>
      </c>
      <c r="H23" s="47">
        <f>IF('Vypocty V'!$D$32=1,'Vypocty V'!H33,'Vypocty V'!H36)</f>
        <v>0</v>
      </c>
      <c r="I23" s="47">
        <f>IF('Vypocty V'!$D$32=1,'Vypocty V'!I33,'Vypocty V'!I36)</f>
        <v>0</v>
      </c>
      <c r="J23" s="47">
        <f>IF('Vypocty V'!$D$32=1,'Vypocty V'!J33,'Vypocty V'!J36)</f>
        <v>0</v>
      </c>
      <c r="K23" s="47">
        <f>IF('Vypocty V'!$D$32=1,'Vypocty V'!K33,'Vypocty V'!K36)</f>
        <v>0</v>
      </c>
      <c r="L23" s="47">
        <f>IF('Vypocty V'!$D$32=1,'Vypocty V'!L33,'Vypocty V'!L36)</f>
        <v>0</v>
      </c>
      <c r="M23" s="47">
        <f>IF('Vypocty V'!$D$32=1,'Vypocty V'!M33,'Vypocty V'!M36)</f>
        <v>0</v>
      </c>
      <c r="N23" s="47">
        <f>IF('Vypocty V'!$D$32=1,'Vypocty V'!N33,'Vypocty V'!N36)</f>
        <v>0</v>
      </c>
      <c r="O23" s="47">
        <f>IF('Vypocty V'!$D$32=1,'Vypocty V'!O33,'Vypocty V'!O36)</f>
        <v>0</v>
      </c>
      <c r="P23" s="47">
        <f>IF('Vypocty V'!$D$32=1,'Vypocty V'!P33,'Vypocty V'!P36)</f>
        <v>0</v>
      </c>
    </row>
    <row r="24" spans="2:16" ht="14.25">
      <c r="B24" s="18"/>
      <c r="C24" s="59" t="str">
        <f>IF(CZ_EN=1,VLOOKUP("ReHoK celkem",Slovnik,1,0),VLOOKUP("ReHoK celkem",Slovnik,2,0))</f>
        <v>ReHoK celkem</v>
      </c>
      <c r="D24" s="60" t="str">
        <f>'Vstupy V'!$D$6</f>
        <v>tis. Kč</v>
      </c>
      <c r="E24" s="212">
        <f>E18+E19+E20+E22+E23</f>
        <v>0</v>
      </c>
      <c r="F24" s="311">
        <f aca="true" t="shared" si="2" ref="F24:P24">F18+F19+F20+F22+F23</f>
        <v>0</v>
      </c>
      <c r="G24" s="47">
        <f t="shared" si="2"/>
        <v>744.2773084215668</v>
      </c>
      <c r="H24" s="47">
        <f t="shared" si="2"/>
        <v>758.7758196808628</v>
      </c>
      <c r="I24" s="47">
        <f t="shared" si="2"/>
        <v>782.9400051130194</v>
      </c>
      <c r="J24" s="47">
        <f t="shared" si="2"/>
        <v>807.104190545176</v>
      </c>
      <c r="K24" s="47">
        <f t="shared" si="2"/>
        <v>831.2683759773327</v>
      </c>
      <c r="L24" s="47">
        <f t="shared" si="2"/>
        <v>831.2683759773327</v>
      </c>
      <c r="M24" s="47">
        <f t="shared" si="2"/>
        <v>831.2683759773327</v>
      </c>
      <c r="N24" s="47">
        <f t="shared" si="2"/>
        <v>831.2683759773327</v>
      </c>
      <c r="O24" s="47">
        <f t="shared" si="2"/>
        <v>831.2683759773327</v>
      </c>
      <c r="P24" s="47">
        <f t="shared" si="2"/>
        <v>831.2683759773327</v>
      </c>
    </row>
    <row r="25" spans="2:16" ht="13.5" hidden="1">
      <c r="B25" s="18"/>
      <c r="C25" s="59" t="str">
        <f>CONCATENATE(IF(CZ_EN=1,VLOOKUP("ReHoK celkem",Slovnik,1,0),VLOOKUP("ReHoK celkem",Slovnik,2,0))," ",IF(CZ_EN=1,VLOOKUP("bez příjmové části",Slovnik,1,0),VLOOKUP("bez příjmové části",Slovnik,2,0))," ",IF(CZ_EN=1,VLOOKUP("PK",Slovnik,1,0),VLOOKUP("PK",Slovnik,2,0)))</f>
        <v>ReHoK celkem bez příjmové části PK</v>
      </c>
      <c r="D25" s="60" t="str">
        <f>'Vstupy V'!$D$6</f>
        <v>tis. Kč</v>
      </c>
      <c r="E25" s="216">
        <f>E18+E19+E21+E22+E23</f>
        <v>0</v>
      </c>
      <c r="F25" s="312">
        <f aca="true" t="shared" si="3" ref="F25:P25">F18+F19+F21+F22+F23</f>
        <v>0</v>
      </c>
      <c r="G25" s="20">
        <f t="shared" si="3"/>
        <v>-120.04109589041096</v>
      </c>
      <c r="H25" s="20">
        <f t="shared" si="3"/>
        <v>-122.87671232876713</v>
      </c>
      <c r="I25" s="20">
        <f t="shared" si="3"/>
        <v>-127.6027397260274</v>
      </c>
      <c r="J25" s="20">
        <f t="shared" si="3"/>
        <v>-132.32876712328766</v>
      </c>
      <c r="K25" s="20">
        <f t="shared" si="3"/>
        <v>-137.05479452054794</v>
      </c>
      <c r="L25" s="20">
        <f t="shared" si="3"/>
        <v>-137.05479452054794</v>
      </c>
      <c r="M25" s="20">
        <f t="shared" si="3"/>
        <v>-137.05479452054794</v>
      </c>
      <c r="N25" s="20">
        <f t="shared" si="3"/>
        <v>-137.05479452054794</v>
      </c>
      <c r="O25" s="20">
        <f t="shared" si="3"/>
        <v>-137.05479452054794</v>
      </c>
      <c r="P25" s="20">
        <f t="shared" si="3"/>
        <v>-137.05479452054794</v>
      </c>
    </row>
    <row r="26" spans="2:6" ht="14.25">
      <c r="B26" s="18"/>
      <c r="C26" s="18"/>
      <c r="F26" s="307"/>
    </row>
    <row r="27" spans="2:16" ht="14.25">
      <c r="B27" s="124" t="s">
        <v>10</v>
      </c>
      <c r="C27" s="124" t="str">
        <f>IF(CZ_EN=1,VLOOKUP("POŽADOVANÝ PŘÍJEM",Slovnik,1,0),VLOOKUP("POŽADOVANÝ PŘÍJEM",Slovnik,2,0))</f>
        <v>POŽADOVANÝ PŘÍJEM</v>
      </c>
      <c r="D27" s="125"/>
      <c r="E27" s="126"/>
      <c r="F27" s="31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2:16" ht="14.25">
      <c r="B28" s="18"/>
      <c r="C28" s="18"/>
      <c r="D28" s="10" t="str">
        <f>'Spolecne vstupy'!$C$17</f>
        <v>rok</v>
      </c>
      <c r="E28" s="217">
        <f>F28-1</f>
        <v>2020</v>
      </c>
      <c r="F28" s="308">
        <f>current</f>
        <v>2021</v>
      </c>
      <c r="G28" s="135">
        <f aca="true" t="shared" si="4" ref="G28:P28">F28+1</f>
        <v>2022</v>
      </c>
      <c r="H28" s="135">
        <f t="shared" si="4"/>
        <v>2023</v>
      </c>
      <c r="I28" s="135">
        <f t="shared" si="4"/>
        <v>2024</v>
      </c>
      <c r="J28" s="135">
        <f t="shared" si="4"/>
        <v>2025</v>
      </c>
      <c r="K28" s="135">
        <f t="shared" si="4"/>
        <v>2026</v>
      </c>
      <c r="L28" s="135">
        <f t="shared" si="4"/>
        <v>2027</v>
      </c>
      <c r="M28" s="135">
        <f t="shared" si="4"/>
        <v>2028</v>
      </c>
      <c r="N28" s="135">
        <f t="shared" si="4"/>
        <v>2029</v>
      </c>
      <c r="O28" s="135">
        <f t="shared" si="4"/>
        <v>2030</v>
      </c>
      <c r="P28" s="135">
        <f t="shared" si="4"/>
        <v>2031</v>
      </c>
    </row>
    <row r="29" spans="2:16" ht="14.25">
      <c r="B29" s="18" t="s">
        <v>42</v>
      </c>
      <c r="C29" s="41" t="str">
        <f>IF(CZ_EN=1,VLOOKUP("Nájemné",Slovnik,1,0),VLOOKUP("Nájemné",Slovnik,2,0))</f>
        <v>Nájemné</v>
      </c>
      <c r="D29" s="56" t="str">
        <f>'Vstupy V'!$D$6</f>
        <v>tis. Kč</v>
      </c>
      <c r="E29" s="218">
        <f>'Vstupy V'!E6</f>
        <v>0</v>
      </c>
      <c r="F29" s="309">
        <f>'Vstupy V'!F6</f>
        <v>0</v>
      </c>
      <c r="G29" s="43">
        <f>'Vstupy V'!G6</f>
        <v>518</v>
      </c>
      <c r="H29" s="43">
        <f>'Vstupy V'!H6</f>
        <v>518</v>
      </c>
      <c r="I29" s="43">
        <f>'Vstupy V'!I6</f>
        <v>518</v>
      </c>
      <c r="J29" s="43">
        <f>'Vstupy V'!J6</f>
        <v>518</v>
      </c>
      <c r="K29" s="43">
        <f>'Vstupy V'!K6</f>
        <v>518</v>
      </c>
      <c r="L29" s="43">
        <f>'Vstupy V'!L6</f>
        <v>518</v>
      </c>
      <c r="M29" s="43">
        <f>'Vstupy V'!M6</f>
        <v>518</v>
      </c>
      <c r="N29" s="43">
        <f>'Vstupy V'!N6</f>
        <v>518</v>
      </c>
      <c r="O29" s="43">
        <f>'Vstupy V'!O6</f>
        <v>518</v>
      </c>
      <c r="P29" s="43">
        <f>'Vstupy V'!P6</f>
        <v>518</v>
      </c>
    </row>
    <row r="30" spans="2:16" ht="14.25">
      <c r="B30" s="18" t="s">
        <v>43</v>
      </c>
      <c r="C30" s="44" t="str">
        <f>IF(CZ_EN=1,VLOOKUP("Provozní náklady",Slovnik,1,0),VLOOKUP("Provozní náklady",Slovnik,2,0))</f>
        <v>Provozní náklady</v>
      </c>
      <c r="D30" s="57" t="str">
        <f>'Vstupy V'!$D$6</f>
        <v>tis. Kč</v>
      </c>
      <c r="E30" s="219">
        <f>'Vstupy V'!E103</f>
        <v>0</v>
      </c>
      <c r="F30" s="310">
        <f>'Vstupy V'!F103</f>
        <v>0</v>
      </c>
      <c r="G30" s="19">
        <f>'Vstupy V'!G103</f>
        <v>2921</v>
      </c>
      <c r="H30" s="19">
        <f>'Vstupy V'!H103</f>
        <v>2990</v>
      </c>
      <c r="I30" s="19">
        <f>'Vstupy V'!I103</f>
        <v>3105</v>
      </c>
      <c r="J30" s="19">
        <f>'Vstupy V'!J103</f>
        <v>3220</v>
      </c>
      <c r="K30" s="19">
        <f>'Vstupy V'!K103</f>
        <v>3335</v>
      </c>
      <c r="L30" s="19">
        <f>'Vstupy V'!L103</f>
        <v>3335</v>
      </c>
      <c r="M30" s="19">
        <f>'Vstupy V'!M103</f>
        <v>3335</v>
      </c>
      <c r="N30" s="19">
        <f>'Vstupy V'!N103</f>
        <v>3335</v>
      </c>
      <c r="O30" s="19">
        <f>'Vstupy V'!O103</f>
        <v>3335</v>
      </c>
      <c r="P30" s="19">
        <f>'Vstupy V'!P103</f>
        <v>3335</v>
      </c>
    </row>
    <row r="31" spans="2:16" ht="14.25">
      <c r="B31" s="18" t="s">
        <v>54</v>
      </c>
      <c r="C31" s="44" t="str">
        <f>IF(CZ_EN=1,VLOOKUP("Odpisy - nominální",Slovnik,1,0),VLOOKUP("Odpisy - nominální",Slovnik,2,0))</f>
        <v>Odpisy - nominální</v>
      </c>
      <c r="D31" s="57" t="str">
        <f>'Vstupy V'!$D$6</f>
        <v>tis. Kč</v>
      </c>
      <c r="E31" s="219">
        <f>IF(opm=3,0,IF(opm=2,'Vypocty V'!E28,'Vypocty V'!E27+'Vypocty V'!E28))</f>
        <v>0</v>
      </c>
      <c r="F31" s="310">
        <f>IF(opm=3,0,IF(opm=2,'Vypocty V'!F28,'Vypocty V'!F27+'Vypocty V'!F28))</f>
        <v>0</v>
      </c>
      <c r="G31" s="19">
        <f>IF(opm=3,0,IF(opm=2,'Vypocty V'!G28,'Vypocty V'!G27+'Vypocty V'!G28))</f>
        <v>0</v>
      </c>
      <c r="H31" s="19">
        <f>IF(opm=3,0,IF(opm=2,'Vypocty V'!H28,'Vypocty V'!H27+'Vypocty V'!H28))</f>
        <v>0</v>
      </c>
      <c r="I31" s="19">
        <f>IF(opm=3,0,IF(opm=2,'Vypocty V'!I28,'Vypocty V'!I27+'Vypocty V'!I28))</f>
        <v>0</v>
      </c>
      <c r="J31" s="19">
        <f>IF(opm=3,0,IF(opm=2,'Vypocty V'!J28,'Vypocty V'!J27+'Vypocty V'!J28))</f>
        <v>0</v>
      </c>
      <c r="K31" s="19">
        <f>IF(opm=3,0,IF(opm=2,'Vypocty V'!K28,'Vypocty V'!K27+'Vypocty V'!K28))</f>
        <v>0</v>
      </c>
      <c r="L31" s="19">
        <f>IF(opm=3,0,IF(opm=2,'Vypocty V'!L28,'Vypocty V'!L27+'Vypocty V'!L28))</f>
        <v>0</v>
      </c>
      <c r="M31" s="19">
        <f>IF(opm=3,0,IF(opm=2,'Vypocty V'!M28,'Vypocty V'!M27+'Vypocty V'!M28))</f>
        <v>0</v>
      </c>
      <c r="N31" s="19">
        <f>IF(opm=3,0,IF(opm=2,'Vypocty V'!N28,'Vypocty V'!N27+'Vypocty V'!N28))</f>
        <v>0</v>
      </c>
      <c r="O31" s="19">
        <f>IF(opm=3,0,IF(opm=2,'Vypocty V'!O28,'Vypocty V'!O27+'Vypocty V'!O28))</f>
        <v>0</v>
      </c>
      <c r="P31" s="19">
        <f>IF(opm=3,0,IF(opm=2,'Vypocty V'!P28,'Vypocty V'!P27+'Vypocty V'!P28))</f>
        <v>0</v>
      </c>
    </row>
    <row r="32" spans="2:16" ht="13.5">
      <c r="B32" s="18"/>
      <c r="C32" s="45" t="str">
        <f>IF(CZ_EN=1,VLOOKUP("Zisk před zdaněním, z toho",Slovnik,1,0),VLOOKUP("Zisk před zdaněním, z toho",Slovnik,2,0))</f>
        <v>Zisk před zdaněním, z toho</v>
      </c>
      <c r="D32" s="58" t="str">
        <f>'Vstupy V'!$D$6</f>
        <v>tis. Kč</v>
      </c>
      <c r="E32" s="212">
        <f>E33+E34+E36+E37+E38</f>
        <v>0</v>
      </c>
      <c r="F32" s="311">
        <f aca="true" t="shared" si="5" ref="F32:P32">F33+F34+F36+F37+F38</f>
        <v>0</v>
      </c>
      <c r="G32" s="47">
        <f t="shared" si="5"/>
        <v>66.29130637636067</v>
      </c>
      <c r="H32" s="47">
        <f t="shared" si="5"/>
        <v>67.59082426127532</v>
      </c>
      <c r="I32" s="47">
        <f t="shared" si="5"/>
        <v>69.75668740279941</v>
      </c>
      <c r="J32" s="47">
        <f t="shared" si="5"/>
        <v>71.92255054432353</v>
      </c>
      <c r="K32" s="47">
        <f t="shared" si="5"/>
        <v>74.08841368584763</v>
      </c>
      <c r="L32" s="47">
        <f t="shared" si="5"/>
        <v>74.08841368584763</v>
      </c>
      <c r="M32" s="47">
        <f t="shared" si="5"/>
        <v>74.08841368584763</v>
      </c>
      <c r="N32" s="47">
        <f t="shared" si="5"/>
        <v>74.08841368584763</v>
      </c>
      <c r="O32" s="47">
        <f t="shared" si="5"/>
        <v>74.08841368584763</v>
      </c>
      <c r="P32" s="47">
        <f t="shared" si="5"/>
        <v>74.08841368584763</v>
      </c>
    </row>
    <row r="33" spans="2:16" ht="13.5">
      <c r="B33" s="18" t="s">
        <v>55</v>
      </c>
      <c r="C33" s="358" t="str">
        <f>IF(CZ_EN=1,VLOOKUP("Úprava odpisů o inflaci",Slovnik,1,0),VLOOKUP("Úprava odpisů o inflaci",Slovnik,2,0))</f>
        <v>Úprava odpisů o inflaci</v>
      </c>
      <c r="D33" s="359" t="str">
        <f>'Vstupy V'!$D$6</f>
        <v>tis. Kč</v>
      </c>
      <c r="E33" s="360">
        <f>'Vypocty V'!E30</f>
        <v>0</v>
      </c>
      <c r="F33" s="361">
        <f>'Vypocty V'!F30</f>
        <v>0</v>
      </c>
      <c r="G33" s="362">
        <f>'Vypocty V'!G30</f>
        <v>0</v>
      </c>
      <c r="H33" s="362">
        <f>'Vypocty V'!H30</f>
        <v>0</v>
      </c>
      <c r="I33" s="362">
        <f>'Vypocty V'!I30</f>
        <v>0</v>
      </c>
      <c r="J33" s="362">
        <f>'Vypocty V'!J30</f>
        <v>0</v>
      </c>
      <c r="K33" s="362">
        <f>'Vypocty V'!K30</f>
        <v>0</v>
      </c>
      <c r="L33" s="362">
        <f>'Vypocty V'!L30</f>
        <v>0</v>
      </c>
      <c r="M33" s="362">
        <f>'Vypocty V'!M30</f>
        <v>0</v>
      </c>
      <c r="N33" s="362">
        <f>'Vypocty V'!N30</f>
        <v>0</v>
      </c>
      <c r="O33" s="362">
        <f>'Vypocty V'!O30</f>
        <v>0</v>
      </c>
      <c r="P33" s="362">
        <f>'Vypocty V'!P30</f>
        <v>0</v>
      </c>
    </row>
    <row r="34" spans="2:16" ht="13.5">
      <c r="B34" s="23" t="str">
        <f>B35</f>
        <v>4.</v>
      </c>
      <c r="C34" s="363" t="str">
        <f>IF(CZ_EN=1,VLOOKUP("Výnos z ReHoK bez Očekávání",Slovnik,1,0),VLOOKUP("Výnos z ReHoK bez Očekávání",Slovnik,2,0))</f>
        <v>Výnos z ReHoK bez Očekávání</v>
      </c>
      <c r="D34" s="128" t="str">
        <f>'Vstupy V'!$D$6</f>
        <v>tis. Kč</v>
      </c>
      <c r="E34" s="360">
        <f>IF('Vypocty V'!$D$21=1,'Vypocty V'!E54-'Vypocty V'!E55+'Vystupy V'!E35,'Vypocty V'!E54+'Vystupy V'!E35)</f>
        <v>0</v>
      </c>
      <c r="F34" s="361">
        <f>IF('Vypocty V'!$D$21=1,'Vypocty V'!F54-'Vypocty V'!F55+'Vystupy V'!F35,'Vypocty V'!F54+'Vystupy V'!F35)</f>
        <v>0</v>
      </c>
      <c r="G34" s="362">
        <f>IF('Vypocty V'!$D$21=1,'Vypocty V'!G54-'Vypocty V'!G55+'Vystupy V'!G35,'Vypocty V'!G54+'Vystupy V'!G35)</f>
        <v>52.09941158950968</v>
      </c>
      <c r="H34" s="362">
        <f>IF('Vypocty V'!$D$21=1,'Vypocty V'!H54-'Vypocty V'!H55+'Vystupy V'!H35,'Vypocty V'!H54+'Vystupy V'!H35)</f>
        <v>53.1143073776604</v>
      </c>
      <c r="I34" s="362">
        <f>IF('Vypocty V'!$D$21=1,'Vypocty V'!I54-'Vypocty V'!I55+'Vystupy V'!I35,'Vypocty V'!I54+'Vystupy V'!I35)</f>
        <v>54.805800357911366</v>
      </c>
      <c r="J34" s="362">
        <f>IF('Vypocty V'!$D$21=1,'Vypocty V'!J54-'Vypocty V'!J55+'Vystupy V'!J35,'Vypocty V'!J54+'Vystupy V'!J35)</f>
        <v>56.49729333816233</v>
      </c>
      <c r="K34" s="362">
        <f>IF('Vypocty V'!$D$21=1,'Vypocty V'!K54-'Vypocty V'!K55+'Vystupy V'!K35,'Vypocty V'!K54+'Vystupy V'!K35)</f>
        <v>58.18878631841329</v>
      </c>
      <c r="L34" s="362">
        <f>IF('Vypocty V'!$D$21=1,'Vypocty V'!L54-'Vypocty V'!L55+'Vystupy V'!L35,'Vypocty V'!L54+'Vystupy V'!L35)</f>
        <v>58.18878631841329</v>
      </c>
      <c r="M34" s="362">
        <f>IF('Vypocty V'!$D$21=1,'Vypocty V'!M54-'Vypocty V'!M55+'Vystupy V'!M35,'Vypocty V'!M54+'Vystupy V'!M35)</f>
        <v>58.18878631841329</v>
      </c>
      <c r="N34" s="362">
        <f>IF('Vypocty V'!$D$21=1,'Vypocty V'!N54-'Vypocty V'!N55+'Vystupy V'!N35,'Vypocty V'!N54+'Vystupy V'!N35)</f>
        <v>58.18878631841329</v>
      </c>
      <c r="O34" s="362">
        <f>IF('Vypocty V'!$D$21=1,'Vypocty V'!O54-'Vypocty V'!O55+'Vystupy V'!O35,'Vypocty V'!O54+'Vystupy V'!O35)</f>
        <v>58.18878631841329</v>
      </c>
      <c r="P34" s="362">
        <f>IF('Vypocty V'!$D$21=1,'Vypocty V'!P54-'Vypocty V'!P55+'Vystupy V'!P35,'Vypocty V'!P54+'Vystupy V'!P35)</f>
        <v>58.18878631841329</v>
      </c>
    </row>
    <row r="35" spans="2:16" ht="13.5" hidden="1">
      <c r="B35" s="18" t="s">
        <v>48</v>
      </c>
      <c r="C35" s="358" t="str">
        <f>CONCATENATE(IF(CZ_EN=1,VLOOKUP("Výnos z ReHoK bez Očekávání",Slovnik,1,0),VLOOKUP("Výnos z ReHoK bez Očekávání",Slovnik,2,0))," ",IF(CZ_EN=1,VLOOKUP("a",Slovnik,1,0),VLOOKUP("a",Slovnik,2,0))," ",IF(CZ_EN=1,VLOOKUP("bez příjmové části",Slovnik,1,0),VLOOKUP("bez příjmové části",Slovnik,2,0))," ",IF(CZ_EN=1,VLOOKUP("PK",Slovnik,1,0),VLOOKUP("PK",Slovnik,2,0)))</f>
        <v>Výnos z ReHoK bez Očekávání a bez příjmové části PK</v>
      </c>
      <c r="D35" s="359" t="str">
        <f>'Vstupy V'!$D$6</f>
        <v>tis. Kč</v>
      </c>
      <c r="E35" s="360">
        <f aca="true" t="shared" si="6" ref="E35:P35">(E25-E23)*waccDW</f>
        <v>0</v>
      </c>
      <c r="F35" s="361">
        <f t="shared" si="6"/>
        <v>0</v>
      </c>
      <c r="G35" s="362">
        <f t="shared" si="6"/>
        <v>-8.402876712328768</v>
      </c>
      <c r="H35" s="362">
        <f t="shared" si="6"/>
        <v>-8.6013698630137</v>
      </c>
      <c r="I35" s="362">
        <f t="shared" si="6"/>
        <v>-8.932191780821919</v>
      </c>
      <c r="J35" s="362">
        <f t="shared" si="6"/>
        <v>-9.263013698630138</v>
      </c>
      <c r="K35" s="362">
        <f t="shared" si="6"/>
        <v>-9.593835616438357</v>
      </c>
      <c r="L35" s="362">
        <f t="shared" si="6"/>
        <v>-9.593835616438357</v>
      </c>
      <c r="M35" s="362">
        <f t="shared" si="6"/>
        <v>-9.593835616438357</v>
      </c>
      <c r="N35" s="362">
        <f t="shared" si="6"/>
        <v>-9.593835616438357</v>
      </c>
      <c r="O35" s="362">
        <f t="shared" si="6"/>
        <v>-9.593835616438357</v>
      </c>
      <c r="P35" s="362">
        <f t="shared" si="6"/>
        <v>-9.593835616438357</v>
      </c>
    </row>
    <row r="36" spans="2:16" ht="13.5">
      <c r="B36" s="23" t="s">
        <v>172</v>
      </c>
      <c r="C36" s="358" t="str">
        <f>IF(CZ_EN=1,VLOOKUP("Návratnost Očekávání",Slovnik,1,0),VLOOKUP("Návratnost Očekávání",Slovnik,2,0))</f>
        <v>Návratnost Očekávání</v>
      </c>
      <c r="D36" s="359" t="str">
        <f>'Vstupy V'!$D$6</f>
        <v>tis. Kč</v>
      </c>
      <c r="E36" s="360"/>
      <c r="F36" s="361">
        <f>IF('Vypocty V'!$D$32=1,'Vypocty V'!F35,'Vypocty V'!F38)</f>
        <v>0</v>
      </c>
      <c r="G36" s="362">
        <f>IF('Vypocty V'!$D$32=1,'Vypocty V'!G35,'Vypocty V'!G38)</f>
        <v>0</v>
      </c>
      <c r="H36" s="362">
        <f>IF('Vypocty V'!$D$32=1,'Vypocty V'!H35,'Vypocty V'!H38)</f>
        <v>0</v>
      </c>
      <c r="I36" s="362">
        <f>IF('Vypocty V'!$D$32=1,'Vypocty V'!I35,'Vypocty V'!I38)</f>
        <v>0</v>
      </c>
      <c r="J36" s="362">
        <f>IF('Vypocty V'!$D$32=1,'Vypocty V'!J35,'Vypocty V'!J38)</f>
        <v>0</v>
      </c>
      <c r="K36" s="362">
        <f>IF('Vypocty V'!$D$32=1,'Vypocty V'!K35,'Vypocty V'!K38)</f>
        <v>0</v>
      </c>
      <c r="L36" s="362">
        <f>IF('Vypocty V'!$D$32=1,'Vypocty V'!L35,'Vypocty V'!L38)</f>
        <v>0</v>
      </c>
      <c r="M36" s="362">
        <f>IF('Vypocty V'!$D$32=1,'Vypocty V'!M35,'Vypocty V'!M38)</f>
        <v>0</v>
      </c>
      <c r="N36" s="362">
        <f>IF('Vypocty V'!$D$32=1,'Vypocty V'!N35,'Vypocty V'!N38)</f>
        <v>0</v>
      </c>
      <c r="O36" s="362">
        <f>IF('Vypocty V'!$D$32=1,'Vypocty V'!O35,'Vypocty V'!O38)</f>
        <v>0</v>
      </c>
      <c r="P36" s="362">
        <f>IF('Vypocty V'!$D$32=1,'Vypocty V'!P35,'Vypocty V'!P38)</f>
        <v>0</v>
      </c>
    </row>
    <row r="37" spans="2:16" ht="13.5">
      <c r="B37" s="23" t="s">
        <v>173</v>
      </c>
      <c r="C37" s="358" t="str">
        <f>IF(CZ_EN=1,VLOOKUP("Výnos z Očekávání",Slovnik,1,0),VLOOKUP("Výnos z Očekávání",Slovnik,2,0))</f>
        <v>Výnos z Očekávání</v>
      </c>
      <c r="D37" s="359" t="str">
        <f>'Vstupy V'!$D$6</f>
        <v>tis. Kč</v>
      </c>
      <c r="E37" s="360"/>
      <c r="F37" s="361">
        <f>IF('Vypocty V'!$D$32=1,'Vypocty V'!F34,'Vypocty V'!F39)</f>
        <v>0</v>
      </c>
      <c r="G37" s="362">
        <f>IF('Vypocty V'!$D$32=1,'Vypocty V'!G34,'Vypocty V'!G39)</f>
        <v>0</v>
      </c>
      <c r="H37" s="362">
        <f>IF('Vypocty V'!$D$32=1,'Vypocty V'!H34,'Vypocty V'!H39)</f>
        <v>0</v>
      </c>
      <c r="I37" s="362">
        <f>IF('Vypocty V'!$D$32=1,'Vypocty V'!I34,'Vypocty V'!I39)</f>
        <v>0</v>
      </c>
      <c r="J37" s="362">
        <f>IF('Vypocty V'!$D$32=1,'Vypocty V'!J34,'Vypocty V'!J39)</f>
        <v>0</v>
      </c>
      <c r="K37" s="362">
        <f>IF('Vypocty V'!$D$32=1,'Vypocty V'!K34,'Vypocty V'!K39)</f>
        <v>0</v>
      </c>
      <c r="L37" s="362">
        <f>IF('Vypocty V'!$D$32=1,'Vypocty V'!L34,'Vypocty V'!L39)</f>
        <v>0</v>
      </c>
      <c r="M37" s="362">
        <f>IF('Vypocty V'!$D$32=1,'Vypocty V'!M34,'Vypocty V'!M39)</f>
        <v>0</v>
      </c>
      <c r="N37" s="362">
        <f>IF('Vypocty V'!$D$32=1,'Vypocty V'!N34,'Vypocty V'!N39)</f>
        <v>0</v>
      </c>
      <c r="O37" s="362">
        <f>IF('Vypocty V'!$D$32=1,'Vypocty V'!O34,'Vypocty V'!O39)</f>
        <v>0</v>
      </c>
      <c r="P37" s="362">
        <f>IF('Vypocty V'!$D$32=1,'Vypocty V'!P34,'Vypocty V'!P39)</f>
        <v>0</v>
      </c>
    </row>
    <row r="38" spans="2:16" ht="13.5">
      <c r="B38" s="23" t="str">
        <f>B39</f>
        <v>6.</v>
      </c>
      <c r="C38" s="363" t="str">
        <f>IF(CZ_EN=1,VLOOKUP("Daň z příjmu právnických osob",Slovnik,1,0),VLOOKUP("Daň z příjmu právnických osob",Slovnik,2,0))</f>
        <v>Daň z příjmu právnických osob</v>
      </c>
      <c r="D38" s="128" t="str">
        <f>'Vstupy V'!$D$6</f>
        <v>tis. Kč</v>
      </c>
      <c r="E38" s="360">
        <f>IF('Vypocty V'!$D$21=1,'Vstupy V'!E105,'Vstupy V'!E106)</f>
        <v>0</v>
      </c>
      <c r="F38" s="361">
        <f>IF('Vypocty V'!$D$21=1,'Vstupy V'!F105,'Vstupy V'!F106)</f>
        <v>0</v>
      </c>
      <c r="G38" s="362">
        <f>IF('Vypocty V'!$D$21=1,'Vstupy V'!G105,'Vstupy V'!G106)</f>
        <v>14.191894786850995</v>
      </c>
      <c r="H38" s="362">
        <f>IF('Vypocty V'!$D$21=1,'Vstupy V'!H105,'Vstupy V'!H106)</f>
        <v>14.476516883614913</v>
      </c>
      <c r="I38" s="362">
        <f>IF('Vypocty V'!$D$21=1,'Vstupy V'!I105,'Vstupy V'!I106)</f>
        <v>14.950887044888054</v>
      </c>
      <c r="J38" s="362">
        <f>IF('Vypocty V'!$D$21=1,'Vstupy V'!J105,'Vstupy V'!J106)</f>
        <v>15.425257206161195</v>
      </c>
      <c r="K38" s="362">
        <f>IF('Vypocty V'!$D$21=1,'Vstupy V'!K105,'Vstupy V'!K106)</f>
        <v>15.899627367434336</v>
      </c>
      <c r="L38" s="362">
        <f>IF('Vypocty V'!$D$21=1,'Vstupy V'!L105,'Vstupy V'!L106)</f>
        <v>15.899627367434336</v>
      </c>
      <c r="M38" s="362">
        <f>IF('Vypocty V'!$D$21=1,'Vstupy V'!M105,'Vstupy V'!M106)</f>
        <v>15.899627367434336</v>
      </c>
      <c r="N38" s="362">
        <f>IF('Vypocty V'!$D$21=1,'Vstupy V'!N105,'Vstupy V'!N106)</f>
        <v>15.899627367434336</v>
      </c>
      <c r="O38" s="362">
        <f>IF('Vypocty V'!$D$21=1,'Vstupy V'!O105,'Vstupy V'!O106)</f>
        <v>15.899627367434336</v>
      </c>
      <c r="P38" s="362">
        <f>IF('Vypocty V'!$D$21=1,'Vstupy V'!P105,'Vstupy V'!P106)</f>
        <v>15.899627367434336</v>
      </c>
    </row>
    <row r="39" spans="2:16" ht="13.5" hidden="1">
      <c r="B39" s="18" t="s">
        <v>87</v>
      </c>
      <c r="C39" s="45" t="str">
        <f>CONCATENATE(IF(CZ_EN=1,VLOOKUP("Daň z příjmu právnických osob",Slovnik,1,0),VLOOKUP("Daň z příjmu právnických osob",Slovnik,2,0))," ",IF(CZ_EN=1,VLOOKUP("bez příjmové části",Slovnik,1,0),VLOOKUP("bez příjmové části",Slovnik,2,0))," ",IF(CZ_EN=1,VLOOKUP("PK",Slovnik,1,0),VLOOKUP("PK",Slovnik,2,0)))</f>
        <v>Daň z příjmu právnických osob bez příjmové části PK</v>
      </c>
      <c r="D39" s="58" t="str">
        <f>'Vstupy V'!$D$6</f>
        <v>tis. Kč</v>
      </c>
      <c r="E39" s="212">
        <f>IF('Vypocty V'!$D$21=1,'Vypocty V'!E51,'Vstupy V'!E106)</f>
        <v>0</v>
      </c>
      <c r="F39" s="311">
        <f>IF('Vypocty V'!$D$21=1,'Vypocty V'!F51,'Vstupy V'!F106)</f>
        <v>0</v>
      </c>
      <c r="G39" s="47">
        <f>IF('Vypocty V'!$D$21=1,'Vypocty V'!G51,'Vstupy V'!G106)</f>
        <v>0</v>
      </c>
      <c r="H39" s="47">
        <f>IF('Vypocty V'!$D$21=1,'Vypocty V'!H51,'Vstupy V'!H106)</f>
        <v>0</v>
      </c>
      <c r="I39" s="47">
        <f>IF('Vypocty V'!$D$21=1,'Vypocty V'!I51,'Vstupy V'!I106)</f>
        <v>0</v>
      </c>
      <c r="J39" s="47">
        <f>IF('Vypocty V'!$D$21=1,'Vypocty V'!J51,'Vstupy V'!J106)</f>
        <v>0</v>
      </c>
      <c r="K39" s="47">
        <f>IF('Vypocty V'!$D$21=1,'Vypocty V'!K51,'Vstupy V'!K106)</f>
        <v>0</v>
      </c>
      <c r="L39" s="47">
        <f>IF('Vypocty V'!$D$21=1,'Vypocty V'!L51,'Vstupy V'!L106)</f>
        <v>0</v>
      </c>
      <c r="M39" s="47">
        <f>IF('Vypocty V'!$D$21=1,'Vypocty V'!M51,'Vstupy V'!M106)</f>
        <v>0</v>
      </c>
      <c r="N39" s="47">
        <f>IF('Vypocty V'!$D$21=1,'Vypocty V'!N51,'Vstupy V'!N106)</f>
        <v>0</v>
      </c>
      <c r="O39" s="47">
        <f>IF('Vypocty V'!$D$21=1,'Vypocty V'!O51,'Vstupy V'!O106)</f>
        <v>0</v>
      </c>
      <c r="P39" s="47">
        <f>IF('Vypocty V'!$D$21=1,'Vypocty V'!P51,'Vstupy V'!P106)</f>
        <v>0</v>
      </c>
    </row>
    <row r="40" spans="2:16" ht="13.5" hidden="1">
      <c r="B40" s="18"/>
      <c r="C40" s="59" t="str">
        <f>CONCATENATE(IF(CZ_EN=1,VLOOKUP("Celkový Požadovaný příjem",Slovnik,1,0),VLOOKUP("Celkový Požadovaný příjem",Slovnik,2,0))," ",IF(CZ_EN=1,VLOOKUP("bez příjmové části",Slovnik,1,0),VLOOKUP("bez příjmové části",Slovnik,2,0))," ",IF(CZ_EN=1,VLOOKUP("PK",Slovnik,1,0),VLOOKUP("PK",Slovnik,2,0)))</f>
        <v>Celkový Požadovaný příjem bez příjmové části PK</v>
      </c>
      <c r="D40" s="60" t="str">
        <f>'Vstupy V'!$D$6</f>
        <v>tis. Kč</v>
      </c>
      <c r="E40" s="216">
        <f>E29+E30+E31+E33+E35+E36+E37+E39</f>
        <v>0</v>
      </c>
      <c r="F40" s="313">
        <f aca="true" t="shared" si="7" ref="F40:P40">F29+F30+F31+F33+F35+F36+F37+F39</f>
        <v>0</v>
      </c>
      <c r="G40" s="20">
        <f t="shared" si="7"/>
        <v>3430.5971232876714</v>
      </c>
      <c r="H40" s="20">
        <f t="shared" si="7"/>
        <v>3499.3986301369864</v>
      </c>
      <c r="I40" s="20">
        <f t="shared" si="7"/>
        <v>3614.067808219178</v>
      </c>
      <c r="J40" s="20">
        <f t="shared" si="7"/>
        <v>3728.73698630137</v>
      </c>
      <c r="K40" s="20">
        <f t="shared" si="7"/>
        <v>3843.4061643835616</v>
      </c>
      <c r="L40" s="20">
        <f t="shared" si="7"/>
        <v>3843.4061643835616</v>
      </c>
      <c r="M40" s="20">
        <f t="shared" si="7"/>
        <v>3843.4061643835616</v>
      </c>
      <c r="N40" s="20">
        <f t="shared" si="7"/>
        <v>3843.4061643835616</v>
      </c>
      <c r="O40" s="20">
        <f t="shared" si="7"/>
        <v>3843.4061643835616</v>
      </c>
      <c r="P40" s="20">
        <f t="shared" si="7"/>
        <v>3843.4061643835616</v>
      </c>
    </row>
    <row r="41" spans="2:16" ht="13.5">
      <c r="B41" s="18"/>
      <c r="C41" s="59" t="str">
        <f>IF(CZ_EN=1,VLOOKUP("Celkový Požadovaný příjem",Slovnik,1,0),VLOOKUP("Celkový Požadovaný příjem",Slovnik,2,0))</f>
        <v>Celkový Požadovaný příjem</v>
      </c>
      <c r="D41" s="60" t="str">
        <f>'Vstupy V'!$D$6</f>
        <v>tis. Kč</v>
      </c>
      <c r="E41" s="216">
        <f>'Vypocty V'!E21</f>
        <v>0</v>
      </c>
      <c r="F41" s="313">
        <f>'Vypocty V'!F21</f>
        <v>0</v>
      </c>
      <c r="G41" s="20">
        <f>'Vypocty V'!G21</f>
        <v>3505.291306376361</v>
      </c>
      <c r="H41" s="20">
        <f>'Vypocty V'!H21</f>
        <v>3575.5908242612754</v>
      </c>
      <c r="I41" s="20">
        <f>'Vypocty V'!I21</f>
        <v>3692.7566874027993</v>
      </c>
      <c r="J41" s="20">
        <f>'Vypocty V'!J21</f>
        <v>3809.9225505443237</v>
      </c>
      <c r="K41" s="20">
        <f>'Vypocty V'!K21</f>
        <v>3927.0884136858476</v>
      </c>
      <c r="L41" s="20">
        <f>'Vypocty V'!L21</f>
        <v>3927.0884136858476</v>
      </c>
      <c r="M41" s="20">
        <f>'Vypocty V'!M21</f>
        <v>3927.0884136858476</v>
      </c>
      <c r="N41" s="20">
        <f>'Vypocty V'!N21</f>
        <v>3927.0884136858476</v>
      </c>
      <c r="O41" s="20">
        <f>'Vypocty V'!O21</f>
        <v>3927.0884136858476</v>
      </c>
      <c r="P41" s="20">
        <f>'Vypocty V'!P21</f>
        <v>3927.0884136858476</v>
      </c>
    </row>
    <row r="42" spans="2:16" ht="13.5">
      <c r="B42" s="18"/>
      <c r="C42" s="179"/>
      <c r="D42" s="179"/>
      <c r="E42" s="179"/>
      <c r="F42" s="314"/>
      <c r="G42" s="179"/>
      <c r="H42" s="179"/>
      <c r="I42" s="179"/>
      <c r="J42" s="179"/>
      <c r="K42" s="179"/>
      <c r="L42" s="179"/>
      <c r="M42" s="179"/>
      <c r="N42" s="179"/>
      <c r="O42" s="179"/>
      <c r="P42" s="179"/>
    </row>
    <row r="43" spans="2:16" ht="13.5">
      <c r="B43" s="18"/>
      <c r="C43" s="15" t="str">
        <f>IF(CZ_EN=1,VLOOKUP("Přiměřený zisk jako % ÚVN",Slovnik,1,0),VLOOKUP("Přiměřený zisk jako % ÚVN",Slovnik,2,0))</f>
        <v>Přiměřený zisk jako % ÚVN</v>
      </c>
      <c r="D43" s="60" t="s">
        <v>67</v>
      </c>
      <c r="E43" s="364">
        <f>IF(E29+E30+E31=0,0,E32/(E29+E30+E31))</f>
        <v>0</v>
      </c>
      <c r="F43" s="365">
        <f>IF(F29+F30+F31=0,0,F32/(F29+F30+F31))</f>
        <v>0</v>
      </c>
      <c r="G43" s="366">
        <f aca="true" t="shared" si="8" ref="G43:P43">IF(G29+G30+G31=0,0,G32/(G29+G30+G31))</f>
        <v>0.0192763321827161</v>
      </c>
      <c r="H43" s="366">
        <f t="shared" si="8"/>
        <v>0.01926762379169764</v>
      </c>
      <c r="I43" s="366">
        <f t="shared" si="8"/>
        <v>0.019253846923212647</v>
      </c>
      <c r="J43" s="366">
        <f t="shared" si="8"/>
        <v>0.019240917748615177</v>
      </c>
      <c r="K43" s="366">
        <f t="shared" si="8"/>
        <v>0.019228760364870912</v>
      </c>
      <c r="L43" s="366">
        <f t="shared" si="8"/>
        <v>0.019228760364870912</v>
      </c>
      <c r="M43" s="366">
        <f t="shared" si="8"/>
        <v>0.019228760364870912</v>
      </c>
      <c r="N43" s="366">
        <f t="shared" si="8"/>
        <v>0.019228760364870912</v>
      </c>
      <c r="O43" s="366">
        <f t="shared" si="8"/>
        <v>0.019228760364870912</v>
      </c>
      <c r="P43" s="366">
        <f t="shared" si="8"/>
        <v>0.019228760364870912</v>
      </c>
    </row>
    <row r="44" spans="2:16" ht="13.5">
      <c r="B44" s="18"/>
      <c r="C44" s="179"/>
      <c r="D44" s="179"/>
      <c r="E44" s="179"/>
      <c r="F44" s="314"/>
      <c r="G44" s="179"/>
      <c r="H44" s="179"/>
      <c r="I44" s="179"/>
      <c r="J44" s="179"/>
      <c r="K44" s="179"/>
      <c r="L44" s="179"/>
      <c r="M44" s="179"/>
      <c r="N44" s="179"/>
      <c r="O44" s="179"/>
      <c r="P44" s="179"/>
    </row>
    <row r="45" spans="2:16" ht="13.5">
      <c r="B45" s="18"/>
      <c r="C45" s="234" t="str">
        <f>IF(CZ_EN=1,VLOOKUP("Možnost vzdát se zisku",Slovnik,1,0),VLOOKUP("Možnost vzdát se zisku",Slovnik,2,0))</f>
        <v>Možnost vzdát se zisku</v>
      </c>
      <c r="D45" s="179"/>
      <c r="E45" s="179"/>
      <c r="F45" s="314"/>
      <c r="G45" s="179"/>
      <c r="H45" s="179"/>
      <c r="I45" s="179"/>
      <c r="J45" s="179"/>
      <c r="K45" s="179"/>
      <c r="L45" s="179"/>
      <c r="M45" s="179"/>
      <c r="N45" s="179"/>
      <c r="O45" s="179"/>
      <c r="P45" s="179"/>
    </row>
    <row r="46" spans="2:16" ht="13.5" hidden="1">
      <c r="B46" s="18"/>
      <c r="C46" s="41" t="str">
        <f>IF(CZ_EN=1,VLOOKUP("Horní hranice odpočtu",Slovnik,1,0),VLOOKUP("Horní hranice odpočtu",Slovnik,2,0))</f>
        <v>Horní hranice odpočtu</v>
      </c>
      <c r="D46" s="41" t="str">
        <f>'Vstupy V'!$D$6</f>
        <v>tis. Kč</v>
      </c>
      <c r="E46" s="235"/>
      <c r="F46" s="309">
        <f>F33+F34+F36+F37+F38</f>
        <v>0</v>
      </c>
      <c r="G46" s="43">
        <f aca="true" t="shared" si="9" ref="G46:P46">G33+G34+G36+G37+G38</f>
        <v>66.29130637636067</v>
      </c>
      <c r="H46" s="43">
        <f t="shared" si="9"/>
        <v>67.59082426127532</v>
      </c>
      <c r="I46" s="43">
        <f t="shared" si="9"/>
        <v>69.75668740279941</v>
      </c>
      <c r="J46" s="43">
        <f t="shared" si="9"/>
        <v>71.92255054432353</v>
      </c>
      <c r="K46" s="43">
        <f t="shared" si="9"/>
        <v>74.08841368584763</v>
      </c>
      <c r="L46" s="43">
        <f t="shared" si="9"/>
        <v>74.08841368584763</v>
      </c>
      <c r="M46" s="43">
        <f t="shared" si="9"/>
        <v>74.08841368584763</v>
      </c>
      <c r="N46" s="43">
        <f t="shared" si="9"/>
        <v>74.08841368584763</v>
      </c>
      <c r="O46" s="43">
        <f t="shared" si="9"/>
        <v>74.08841368584763</v>
      </c>
      <c r="P46" s="43">
        <f t="shared" si="9"/>
        <v>74.08841368584763</v>
      </c>
    </row>
    <row r="47" spans="2:16" ht="13.5">
      <c r="B47" s="18"/>
      <c r="C47" s="41" t="str">
        <f>IF(CZ_EN=1,VLOOKUP("Vzdát se zisku ve výši:",Slovnik,1,0),VLOOKUP("Vzdát se zisku ve výši:",Slovnik,2,0))</f>
        <v>Vzdát se zisku ve výši:</v>
      </c>
      <c r="D47" s="41" t="str">
        <f>'Vstupy V'!$D$6</f>
        <v>tis. Kč</v>
      </c>
      <c r="E47" s="235"/>
      <c r="F47" s="309">
        <f>'Vstupy V'!F110</f>
        <v>0</v>
      </c>
      <c r="G47" s="43">
        <f>'Vstupy V'!G110</f>
        <v>0</v>
      </c>
      <c r="H47" s="43">
        <f>'Vstupy V'!H110</f>
        <v>0</v>
      </c>
      <c r="I47" s="43">
        <f>'Vstupy V'!I110</f>
        <v>0</v>
      </c>
      <c r="J47" s="43">
        <f>'Vstupy V'!J110</f>
        <v>0</v>
      </c>
      <c r="K47" s="43">
        <f>'Vstupy V'!K110</f>
        <v>0</v>
      </c>
      <c r="L47" s="43">
        <f>'Vstupy V'!L110</f>
        <v>0</v>
      </c>
      <c r="M47" s="43">
        <f>'Vstupy V'!M110</f>
        <v>0</v>
      </c>
      <c r="N47" s="43">
        <f>'Vstupy V'!N110</f>
        <v>0</v>
      </c>
      <c r="O47" s="43">
        <f>'Vstupy V'!O110</f>
        <v>0</v>
      </c>
      <c r="P47" s="43">
        <f>'Vstupy V'!P110</f>
        <v>0</v>
      </c>
    </row>
    <row r="48" spans="2:16" ht="13.5">
      <c r="B48" s="18"/>
      <c r="C48" s="266" t="str">
        <f>CONCATENATE(IF(CZ_EN=1,VLOOKUP("Celkový Požadovaný příjem",Slovnik,1,0),VLOOKUP("Celkový Požadovaný příjem",Slovnik,2,0))," ",IF(CZ_EN=1,VLOOKUP("po vzdání se zisku",Slovnik,1,0),VLOOKUP("po vzdání se zisku",Slovnik,2,0)))</f>
        <v>Celkový Požadovaný příjem po vzdání se zisku</v>
      </c>
      <c r="D48" s="58" t="str">
        <f>'Vstupy V'!$D$6</f>
        <v>tis. Kč</v>
      </c>
      <c r="E48" s="386"/>
      <c r="F48" s="311">
        <f aca="true" t="shared" si="10" ref="F48:P48">F41-F47</f>
        <v>0</v>
      </c>
      <c r="G48" s="47">
        <f t="shared" si="10"/>
        <v>3505.291306376361</v>
      </c>
      <c r="H48" s="47">
        <f t="shared" si="10"/>
        <v>3575.5908242612754</v>
      </c>
      <c r="I48" s="47">
        <f t="shared" si="10"/>
        <v>3692.7566874027993</v>
      </c>
      <c r="J48" s="47">
        <f t="shared" si="10"/>
        <v>3809.9225505443237</v>
      </c>
      <c r="K48" s="47">
        <f t="shared" si="10"/>
        <v>3927.0884136858476</v>
      </c>
      <c r="L48" s="47">
        <f t="shared" si="10"/>
        <v>3927.0884136858476</v>
      </c>
      <c r="M48" s="47">
        <f t="shared" si="10"/>
        <v>3927.0884136858476</v>
      </c>
      <c r="N48" s="47">
        <f t="shared" si="10"/>
        <v>3927.0884136858476</v>
      </c>
      <c r="O48" s="47">
        <f t="shared" si="10"/>
        <v>3927.0884136858476</v>
      </c>
      <c r="P48" s="47">
        <f t="shared" si="10"/>
        <v>3927.0884136858476</v>
      </c>
    </row>
    <row r="49" spans="2:6" ht="13.5">
      <c r="B49" s="18"/>
      <c r="C49" s="18"/>
      <c r="F49" s="307"/>
    </row>
    <row r="50" spans="2:16" ht="13.5">
      <c r="B50" s="18"/>
      <c r="C50" s="15" t="str">
        <f>IF(CZ_EN=1,VLOOKUP("Dobrovolně snížený zisk jako % ÚVN",Slovnik,1,0),VLOOKUP("Dobrovolně snížený zisk jako % ÚVN",Slovnik,2,0))</f>
        <v>Dobrovolně snížený zisk jako % ÚVN</v>
      </c>
      <c r="D50" s="60" t="s">
        <v>67</v>
      </c>
      <c r="E50" s="364">
        <f aca="true" t="shared" si="11" ref="E50:P50">IF(E29+E30+E31=0,0,(E32-E47)/(E29+E30+E31))</f>
        <v>0</v>
      </c>
      <c r="F50" s="365">
        <f t="shared" si="11"/>
        <v>0</v>
      </c>
      <c r="G50" s="366">
        <f t="shared" si="11"/>
        <v>0.0192763321827161</v>
      </c>
      <c r="H50" s="366">
        <f t="shared" si="11"/>
        <v>0.01926762379169764</v>
      </c>
      <c r="I50" s="366">
        <f t="shared" si="11"/>
        <v>0.019253846923212647</v>
      </c>
      <c r="J50" s="366">
        <f t="shared" si="11"/>
        <v>0.019240917748615177</v>
      </c>
      <c r="K50" s="366">
        <f t="shared" si="11"/>
        <v>0.019228760364870912</v>
      </c>
      <c r="L50" s="366">
        <f t="shared" si="11"/>
        <v>0.019228760364870912</v>
      </c>
      <c r="M50" s="366">
        <f t="shared" si="11"/>
        <v>0.019228760364870912</v>
      </c>
      <c r="N50" s="366">
        <f t="shared" si="11"/>
        <v>0.019228760364870912</v>
      </c>
      <c r="O50" s="366">
        <f t="shared" si="11"/>
        <v>0.019228760364870912</v>
      </c>
      <c r="P50" s="366">
        <f t="shared" si="11"/>
        <v>0.019228760364870912</v>
      </c>
    </row>
    <row r="51" spans="2:6" ht="13.5">
      <c r="B51" s="18"/>
      <c r="C51" s="18"/>
      <c r="F51" s="307"/>
    </row>
    <row r="52" spans="2:16" ht="13.5">
      <c r="B52" s="18"/>
      <c r="C52" s="41" t="str">
        <f>'Vstupy V'!C28</f>
        <v>Objem vody dodané - celkem</v>
      </c>
      <c r="D52" s="41" t="str">
        <f>'Vstupy V'!D28</f>
        <v>tis. m3/rok</v>
      </c>
      <c r="E52" s="218">
        <f>'Vstupy V'!E28</f>
        <v>0</v>
      </c>
      <c r="F52" s="309">
        <f>'Vstupy V'!F28</f>
        <v>0</v>
      </c>
      <c r="G52" s="43">
        <f>'Vstupy V'!G28</f>
        <v>127</v>
      </c>
      <c r="H52" s="43">
        <f>'Vstupy V'!H28</f>
        <v>130</v>
      </c>
      <c r="I52" s="43">
        <f>'Vstupy V'!I28</f>
        <v>135</v>
      </c>
      <c r="J52" s="43">
        <f>'Vstupy V'!J28</f>
        <v>140</v>
      </c>
      <c r="K52" s="43">
        <f>'Vstupy V'!K28</f>
        <v>145</v>
      </c>
      <c r="L52" s="43">
        <f>'Vstupy V'!L28</f>
        <v>145</v>
      </c>
      <c r="M52" s="43">
        <f>'Vstupy V'!M28</f>
        <v>145</v>
      </c>
      <c r="N52" s="43">
        <f>'Vstupy V'!N28</f>
        <v>145</v>
      </c>
      <c r="O52" s="43">
        <f>'Vstupy V'!O28</f>
        <v>145</v>
      </c>
      <c r="P52" s="43">
        <f>'Vstupy V'!P28</f>
        <v>145</v>
      </c>
    </row>
    <row r="53" spans="2:16" ht="13.5">
      <c r="B53" s="18"/>
      <c r="C53" s="44" t="str">
        <f>'Spolecne vstupy'!B21</f>
        <v>Úspěšnost výběru pohledávek</v>
      </c>
      <c r="D53" s="57" t="s">
        <v>67</v>
      </c>
      <c r="E53" s="387">
        <f>'Spolecne vstupy'!E21</f>
        <v>0.998</v>
      </c>
      <c r="F53" s="388">
        <f>'Spolecne vstupy'!F21</f>
        <v>0.998</v>
      </c>
      <c r="G53" s="389">
        <f>'Spolecne vstupy'!G21</f>
        <v>0.998</v>
      </c>
      <c r="H53" s="389">
        <f>'Spolecne vstupy'!H21</f>
        <v>0.998</v>
      </c>
      <c r="I53" s="389">
        <f>'Spolecne vstupy'!I21</f>
        <v>0.998</v>
      </c>
      <c r="J53" s="389">
        <f>'Spolecne vstupy'!J21</f>
        <v>0.998</v>
      </c>
      <c r="K53" s="389">
        <f>'Spolecne vstupy'!K21</f>
        <v>0.998</v>
      </c>
      <c r="L53" s="389">
        <f>'Spolecne vstupy'!L21</f>
        <v>0.998</v>
      </c>
      <c r="M53" s="389">
        <f>'Spolecne vstupy'!M21</f>
        <v>0.998</v>
      </c>
      <c r="N53" s="389">
        <f>'Spolecne vstupy'!N21</f>
        <v>0.998</v>
      </c>
      <c r="O53" s="389">
        <f>'Spolecne vstupy'!O21</f>
        <v>0.998</v>
      </c>
      <c r="P53" s="389">
        <f>'Spolecne vstupy'!P21</f>
        <v>0.998</v>
      </c>
    </row>
    <row r="54" spans="2:16" ht="13.5">
      <c r="B54" s="18"/>
      <c r="C54" s="45" t="str">
        <f>IF(CZ_EN=1,VLOOKUP("Skutečně uhrazená produkce",Slovnik,1,0),VLOOKUP("Skutečně uhrazená produkce",Slovnik,2,0))</f>
        <v>Skutečně uhrazená produkce</v>
      </c>
      <c r="D54" s="45" t="str">
        <f>D52</f>
        <v>tis. m3/rok</v>
      </c>
      <c r="E54" s="212">
        <f>E52*E53</f>
        <v>0</v>
      </c>
      <c r="F54" s="311">
        <f aca="true" t="shared" si="12" ref="F54:P54">F52*F53</f>
        <v>0</v>
      </c>
      <c r="G54" s="47">
        <f t="shared" si="12"/>
        <v>126.746</v>
      </c>
      <c r="H54" s="47">
        <f t="shared" si="12"/>
        <v>129.74</v>
      </c>
      <c r="I54" s="47">
        <f t="shared" si="12"/>
        <v>134.73</v>
      </c>
      <c r="J54" s="47">
        <f t="shared" si="12"/>
        <v>139.72</v>
      </c>
      <c r="K54" s="47">
        <f t="shared" si="12"/>
        <v>144.71</v>
      </c>
      <c r="L54" s="47">
        <f t="shared" si="12"/>
        <v>144.71</v>
      </c>
      <c r="M54" s="47">
        <f t="shared" si="12"/>
        <v>144.71</v>
      </c>
      <c r="N54" s="47">
        <f t="shared" si="12"/>
        <v>144.71</v>
      </c>
      <c r="O54" s="47">
        <f t="shared" si="12"/>
        <v>144.71</v>
      </c>
      <c r="P54" s="47">
        <f t="shared" si="12"/>
        <v>144.71</v>
      </c>
    </row>
    <row r="55" spans="2:6" ht="13.5">
      <c r="B55" s="18"/>
      <c r="C55" s="18"/>
      <c r="F55" s="307"/>
    </row>
    <row r="56" spans="2:16" ht="13.5">
      <c r="B56" s="18"/>
      <c r="C56" s="59" t="str">
        <f>IF(CZ_EN=1,VLOOKUP("Průměrná reálná cena založená na Požadovaném příjmu",Slovnik,1,0),VLOOKUP("Průměrná reálná cena založená na Požadovaném příjmu",Slovnik,2,0))</f>
        <v>Průměrná reálná cena založená na Požadovaném příjmu</v>
      </c>
      <c r="D56" s="61" t="str">
        <f>IF(CZ_EN=1,VLOOKUP("Kč/m3",Slovnik,1,0),VLOOKUP("Kč/m3",Slovnik,2,0))</f>
        <v>Kč/m3</v>
      </c>
      <c r="E56" s="383">
        <f>IF(E54=0,0,E41/E54)</f>
        <v>0</v>
      </c>
      <c r="F56" s="384">
        <f>IF(F54=0,0,F48/F54)</f>
        <v>0</v>
      </c>
      <c r="G56" s="385">
        <f aca="true" t="shared" si="13" ref="G56:P56">IF(G54=0,0,G48/G54)</f>
        <v>27.656031009865092</v>
      </c>
      <c r="H56" s="385">
        <f t="shared" si="13"/>
        <v>27.55966413027035</v>
      </c>
      <c r="I56" s="385">
        <f t="shared" si="13"/>
        <v>27.4085703807823</v>
      </c>
      <c r="J56" s="385">
        <f t="shared" si="13"/>
        <v>27.26826904197197</v>
      </c>
      <c r="K56" s="385">
        <f t="shared" si="13"/>
        <v>27.137643657562347</v>
      </c>
      <c r="L56" s="385">
        <f t="shared" si="13"/>
        <v>27.137643657562347</v>
      </c>
      <c r="M56" s="385">
        <f t="shared" si="13"/>
        <v>27.137643657562347</v>
      </c>
      <c r="N56" s="385">
        <f t="shared" si="13"/>
        <v>27.137643657562347</v>
      </c>
      <c r="O56" s="385">
        <f t="shared" si="13"/>
        <v>27.137643657562347</v>
      </c>
      <c r="P56" s="385">
        <f t="shared" si="13"/>
        <v>27.137643657562347</v>
      </c>
    </row>
    <row r="57" spans="2:16" ht="13.5">
      <c r="B57" s="18"/>
      <c r="C57" s="59" t="str">
        <f>IF(CZ_EN=1,VLOOKUP("Průměrná nomin. cena založená na Požadovaném příjmu",Slovnik,1,0),VLOOKUP("Průměrná nomin. cena založená na Požadovaném příjmu",Slovnik,2,0))</f>
        <v>Průměrná nomin. cena založená na Požadovaném příjmu</v>
      </c>
      <c r="D57" s="15" t="str">
        <f>$D$56</f>
        <v>Kč/m3</v>
      </c>
      <c r="E57" s="383"/>
      <c r="F57" s="384">
        <f>'Spolecne vstupy'!F19*F56</f>
        <v>0</v>
      </c>
      <c r="G57" s="385">
        <f>'Spolecne vstupy'!G19*G56</f>
        <v>28.292119723091986</v>
      </c>
      <c r="H57" s="385">
        <f>'Spolecne vstupy'!H19*H56</f>
        <v>28.757407133371892</v>
      </c>
      <c r="I57" s="385">
        <f>'Spolecne vstupy'!I19*I56</f>
        <v>29.171741786521714</v>
      </c>
      <c r="J57" s="385">
        <f>'Spolecne vstupy'!J19*J56</f>
        <v>29.602863274323322</v>
      </c>
      <c r="K57" s="385">
        <f>'Spolecne vstupy'!K19*K56</f>
        <v>30.050275381121516</v>
      </c>
      <c r="L57" s="385">
        <f>'Spolecne vstupy'!L19*L56</f>
        <v>30.651280888743948</v>
      </c>
      <c r="M57" s="385">
        <f>'Spolecne vstupy'!M19*M56</f>
        <v>31.264306506518828</v>
      </c>
      <c r="N57" s="385">
        <f>'Spolecne vstupy'!N19*N56</f>
        <v>31.889592636649205</v>
      </c>
      <c r="O57" s="385">
        <f>'Spolecne vstupy'!O19*O56</f>
        <v>32.52738448938219</v>
      </c>
      <c r="P57" s="385">
        <f>'Spolecne vstupy'!P19*P56</f>
        <v>33.17793217916984</v>
      </c>
    </row>
    <row r="58" spans="2:6" ht="13.5">
      <c r="B58" s="18"/>
      <c r="C58" s="18"/>
      <c r="F58" s="307"/>
    </row>
    <row r="59" spans="2:6" ht="13.5">
      <c r="B59" s="18"/>
      <c r="C59" s="234" t="str">
        <f>IF(CZ_EN=1,VLOOKUP("Zisk ve vztahu ke Kalkulaci",Slovnik,1,0),VLOOKUP("Zisk ve vztahu ke Kalkulaci",Slovnik,2,0))</f>
        <v>Zisk ve vztahu ke Kalkulaci</v>
      </c>
      <c r="F59" s="307"/>
    </row>
    <row r="60" spans="2:16" ht="13.5">
      <c r="B60" s="18"/>
      <c r="C60" s="41" t="str">
        <f>IF(CZ_EN=1,VLOOKUP("Přiměřený zisk po snížení před zdaněním",Slovnik,1,0),VLOOKUP("Přiměřený zisk po snížení před zdaněním",Slovnik,2,0))</f>
        <v>Přiměřený zisk po snížení před zdaněním</v>
      </c>
      <c r="D60" s="41" t="str">
        <f>'Vstupy V'!$D$6</f>
        <v>tis. Kč</v>
      </c>
      <c r="E60" s="218">
        <f aca="true" t="shared" si="14" ref="E60:P60">E32-E47</f>
        <v>0</v>
      </c>
      <c r="F60" s="309">
        <f t="shared" si="14"/>
        <v>0</v>
      </c>
      <c r="G60" s="43">
        <f t="shared" si="14"/>
        <v>66.29130637636067</v>
      </c>
      <c r="H60" s="43">
        <f t="shared" si="14"/>
        <v>67.59082426127532</v>
      </c>
      <c r="I60" s="43">
        <f t="shared" si="14"/>
        <v>69.75668740279941</v>
      </c>
      <c r="J60" s="43">
        <f t="shared" si="14"/>
        <v>71.92255054432353</v>
      </c>
      <c r="K60" s="43">
        <f t="shared" si="14"/>
        <v>74.08841368584763</v>
      </c>
      <c r="L60" s="43">
        <f t="shared" si="14"/>
        <v>74.08841368584763</v>
      </c>
      <c r="M60" s="43">
        <f t="shared" si="14"/>
        <v>74.08841368584763</v>
      </c>
      <c r="N60" s="43">
        <f t="shared" si="14"/>
        <v>74.08841368584763</v>
      </c>
      <c r="O60" s="43">
        <f t="shared" si="14"/>
        <v>74.08841368584763</v>
      </c>
      <c r="P60" s="43">
        <f t="shared" si="14"/>
        <v>74.08841368584763</v>
      </c>
    </row>
    <row r="61" spans="2:16" ht="13.5">
      <c r="B61" s="18"/>
      <c r="C61" s="44" t="str">
        <f>IF(CZ_EN=1,VLOOKUP("Potencionální zisk z titulu nikdy nevybraných pohledávek",Slovnik,1,0),VLOOKUP("Potencionální zisk z titulu nikdy nevybraných pohledávek",Slovnik,2,0))</f>
        <v>Potencionální zisk z titulu nikdy nevybraných pohledávek</v>
      </c>
      <c r="D61" s="44" t="str">
        <f>'Vstupy V'!$D$6</f>
        <v>tis. Kč</v>
      </c>
      <c r="E61" s="219">
        <f>IF('Spolecne vstupy'!E21=0,0,E41/'Spolecne vstupy'!E21)-E41</f>
        <v>0</v>
      </c>
      <c r="F61" s="310">
        <f>IF('Spolecne vstupy'!F21=0,0,F48/'Spolecne vstupy'!F21)-F48</f>
        <v>0</v>
      </c>
      <c r="G61" s="19">
        <f>IF('Spolecne vstupy'!G21=0,0,G48/'Spolecne vstupy'!G21)-G48</f>
        <v>7.024631876505737</v>
      </c>
      <c r="H61" s="19">
        <f>IF('Spolecne vstupy'!H21=0,0,H48/'Spolecne vstupy'!H21)-H48</f>
        <v>7.165512673870126</v>
      </c>
      <c r="I61" s="19">
        <f>IF('Spolecne vstupy'!I21=0,0,I48/'Spolecne vstupy'!I21)-I48</f>
        <v>7.400314002811228</v>
      </c>
      <c r="J61" s="19">
        <f>IF('Spolecne vstupy'!J21=0,0,J48/'Spolecne vstupy'!J21)-J48</f>
        <v>7.635115331752331</v>
      </c>
      <c r="K61" s="19">
        <f>IF('Spolecne vstupy'!K21=0,0,K48/'Spolecne vstupy'!K21)-K48</f>
        <v>7.869916660692979</v>
      </c>
      <c r="L61" s="19">
        <f>IF('Spolecne vstupy'!L21=0,0,L48/'Spolecne vstupy'!L21)-L48</f>
        <v>7.869916660692979</v>
      </c>
      <c r="M61" s="19">
        <f>IF('Spolecne vstupy'!M21=0,0,M48/'Spolecne vstupy'!M21)-M48</f>
        <v>7.869916660692979</v>
      </c>
      <c r="N61" s="19">
        <f>IF('Spolecne vstupy'!N21=0,0,N48/'Spolecne vstupy'!N21)-N48</f>
        <v>7.869916660692979</v>
      </c>
      <c r="O61" s="19">
        <f>IF('Spolecne vstupy'!O21=0,0,O48/'Spolecne vstupy'!O21)-O48</f>
        <v>7.869916660692979</v>
      </c>
      <c r="P61" s="19">
        <f>IF('Spolecne vstupy'!P21=0,0,P48/'Spolecne vstupy'!P21)-P48</f>
        <v>7.869916660692979</v>
      </c>
    </row>
    <row r="62" spans="2:16" ht="13.5">
      <c r="B62" s="18"/>
      <c r="C62" s="45" t="str">
        <f>IF(CZ_EN=1,VLOOKUP("Úprava o finanční náklady a výnosy",Slovnik,1,0),VLOOKUP("Úprava o finanční náklady a výnosy",Slovnik,2,0))</f>
        <v>Úprava o finanční náklady a výnosy</v>
      </c>
      <c r="D62" s="45" t="str">
        <f>'Vstupy V'!$D$6</f>
        <v>tis. Kč</v>
      </c>
      <c r="E62" s="212">
        <f>'Vstupy V'!E97</f>
        <v>0</v>
      </c>
      <c r="F62" s="311">
        <f>'Vstupy V'!F97</f>
        <v>0</v>
      </c>
      <c r="G62" s="47">
        <f>'Vstupy V'!G97</f>
        <v>0</v>
      </c>
      <c r="H62" s="47">
        <f>'Vstupy V'!H97</f>
        <v>0</v>
      </c>
      <c r="I62" s="47">
        <f>'Vstupy V'!I97</f>
        <v>0</v>
      </c>
      <c r="J62" s="47">
        <f>'Vstupy V'!J97</f>
        <v>0</v>
      </c>
      <c r="K62" s="47">
        <f>'Vstupy V'!K97</f>
        <v>0</v>
      </c>
      <c r="L62" s="47">
        <f>'Vstupy V'!L97</f>
        <v>0</v>
      </c>
      <c r="M62" s="47">
        <f>'Vstupy V'!M97</f>
        <v>0</v>
      </c>
      <c r="N62" s="47">
        <f>'Vstupy V'!N97</f>
        <v>0</v>
      </c>
      <c r="O62" s="47">
        <f>'Vstupy V'!O97</f>
        <v>0</v>
      </c>
      <c r="P62" s="47">
        <f>'Vstupy V'!P97</f>
        <v>0</v>
      </c>
    </row>
    <row r="63" spans="2:16" ht="13.5">
      <c r="B63" s="18"/>
      <c r="C63" s="45" t="str">
        <f>IF(CZ_EN=1,VLOOKUP("Kalkulační zisk",Slovnik,1,0),VLOOKUP("Kalkulační zisk",Slovnik,2,0))</f>
        <v>Kalkulační zisk</v>
      </c>
      <c r="D63" s="58" t="str">
        <f>'Vstupy V'!$D$6</f>
        <v>tis. Kč</v>
      </c>
      <c r="E63" s="212">
        <f>E60+E61-E62</f>
        <v>0</v>
      </c>
      <c r="F63" s="311">
        <f aca="true" t="shared" si="15" ref="F63:P63">F60+F61-F62</f>
        <v>0</v>
      </c>
      <c r="G63" s="47">
        <f t="shared" si="15"/>
        <v>73.3159382528664</v>
      </c>
      <c r="H63" s="47">
        <f t="shared" si="15"/>
        <v>74.75633693514544</v>
      </c>
      <c r="I63" s="47">
        <f t="shared" si="15"/>
        <v>77.15700140561064</v>
      </c>
      <c r="J63" s="47">
        <f t="shared" si="15"/>
        <v>79.55766587607586</v>
      </c>
      <c r="K63" s="47">
        <f t="shared" si="15"/>
        <v>81.9583303465406</v>
      </c>
      <c r="L63" s="47">
        <f t="shared" si="15"/>
        <v>81.9583303465406</v>
      </c>
      <c r="M63" s="47">
        <f t="shared" si="15"/>
        <v>81.9583303465406</v>
      </c>
      <c r="N63" s="47">
        <f t="shared" si="15"/>
        <v>81.9583303465406</v>
      </c>
      <c r="O63" s="47">
        <f t="shared" si="15"/>
        <v>81.9583303465406</v>
      </c>
      <c r="P63" s="47">
        <f t="shared" si="15"/>
        <v>81.9583303465406</v>
      </c>
    </row>
    <row r="64" spans="2:16" ht="13.5">
      <c r="B64" s="18"/>
      <c r="C64" s="59" t="str">
        <f>CONCATENATE(IF(CZ_EN=1,VLOOKUP("Kalkulační zisk",Slovnik,1,0),VLOOKUP("Kalkulační zisk",Slovnik,2,0))," (",IF(CZ_EN=1,VLOOKUP("v běžných cenách",Slovnik,1,0),VLOOKUP("v běžných cenách",Slovnik,2,0)),")")</f>
        <v>Kalkulační zisk (v běžných cenách)</v>
      </c>
      <c r="D64" s="60" t="str">
        <f>'Vstupy V'!$D$6</f>
        <v>tis. Kč</v>
      </c>
      <c r="E64" s="216"/>
      <c r="F64" s="313">
        <f>F63*'Spolecne vstupy'!F19</f>
        <v>0</v>
      </c>
      <c r="G64" s="20">
        <f>G63*'Spolecne vstupy'!G19</f>
        <v>75.00220483268232</v>
      </c>
      <c r="H64" s="20">
        <f>H63*'Spolecne vstupy'!H19</f>
        <v>78.00524733834685</v>
      </c>
      <c r="I64" s="20">
        <f>I63*'Spolecne vstupy'!I19</f>
        <v>82.12044958043244</v>
      </c>
      <c r="J64" s="20">
        <f>J63*'Spolecne vstupy'!J19</f>
        <v>86.36905781326612</v>
      </c>
      <c r="K64" s="20">
        <f>K63*'Spolecne vstupy'!K19</f>
        <v>90.75476219558048</v>
      </c>
      <c r="L64" s="20">
        <f>L63*'Spolecne vstupy'!L19</f>
        <v>92.5698574394921</v>
      </c>
      <c r="M64" s="20">
        <f>M63*'Spolecne vstupy'!M19</f>
        <v>94.42125458828194</v>
      </c>
      <c r="N64" s="20">
        <f>N63*'Spolecne vstupy'!N19</f>
        <v>96.30967968004758</v>
      </c>
      <c r="O64" s="20">
        <f>O63*'Spolecne vstupy'!O19</f>
        <v>98.23587327364854</v>
      </c>
      <c r="P64" s="20">
        <f>P63*'Spolecne vstupy'!P19</f>
        <v>100.20059073912151</v>
      </c>
    </row>
    <row r="65" spans="2:6" ht="13.5">
      <c r="B65" s="18"/>
      <c r="C65" s="18"/>
      <c r="F65" s="307"/>
    </row>
    <row r="66" spans="2:16" ht="13.5">
      <c r="B66" s="18"/>
      <c r="C66" s="15" t="str">
        <f>IF(CZ_EN=1,VLOOKUP("Kalkulační zisk jako % ÚVN",Slovnik,1,0),VLOOKUP("Kalkulační zisk jako % ÚVN",Slovnik,2,0))</f>
        <v>Kalkulační zisk jako % ÚVN</v>
      </c>
      <c r="D66" s="60" t="s">
        <v>67</v>
      </c>
      <c r="E66" s="364">
        <f aca="true" t="shared" si="16" ref="E66:P66">IF(E29+E30+E31=0,0,E63/(E29+E30+E31))</f>
        <v>0</v>
      </c>
      <c r="F66" s="365">
        <f t="shared" si="16"/>
        <v>0</v>
      </c>
      <c r="G66" s="366">
        <f t="shared" si="16"/>
        <v>0.021318970122962026</v>
      </c>
      <c r="H66" s="366">
        <f t="shared" si="16"/>
        <v>0.021310244280258107</v>
      </c>
      <c r="I66" s="366">
        <f t="shared" si="16"/>
        <v>0.021296439802818284</v>
      </c>
      <c r="J66" s="366">
        <f t="shared" si="16"/>
        <v>0.021283484718051325</v>
      </c>
      <c r="K66" s="366">
        <f t="shared" si="16"/>
        <v>0.021271302970812513</v>
      </c>
      <c r="L66" s="366">
        <f t="shared" si="16"/>
        <v>0.021271302970812513</v>
      </c>
      <c r="M66" s="366">
        <f t="shared" si="16"/>
        <v>0.021271302970812513</v>
      </c>
      <c r="N66" s="366">
        <f t="shared" si="16"/>
        <v>0.021271302970812513</v>
      </c>
      <c r="O66" s="366">
        <f t="shared" si="16"/>
        <v>0.021271302970812513</v>
      </c>
      <c r="P66" s="366">
        <f t="shared" si="16"/>
        <v>0.021271302970812513</v>
      </c>
    </row>
    <row r="67" spans="2:6" ht="13.5">
      <c r="B67" s="18"/>
      <c r="C67" s="18"/>
      <c r="F67" s="307"/>
    </row>
    <row r="68" spans="1:16" ht="13.5">
      <c r="A68" s="9">
        <f>'Vstupy V'!E9</f>
        <v>1</v>
      </c>
      <c r="B68" s="62" t="s">
        <v>512</v>
      </c>
      <c r="C68" s="62" t="str">
        <f>IF(CZ_EN=1,VLOOKUP("POVOLENÝ PŘÍJEM (pokud je relevantní)",Slovnik,1,0),VLOOKUP("POVOLENÝ PŘÍJEM (pokud je relevantní)",Slovnik,2,0))</f>
        <v>POVOLENÝ PŘÍJEM (pokud je relevantní)</v>
      </c>
      <c r="D68" s="63"/>
      <c r="E68" s="64"/>
      <c r="F68" s="316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2:6" ht="13.5">
      <c r="B69" s="18"/>
      <c r="C69" s="18"/>
      <c r="F69" s="307"/>
    </row>
    <row r="70" spans="2:6" ht="13.5">
      <c r="B70" s="18"/>
      <c r="C70" s="15" t="str">
        <f>'Vstupy V'!C10</f>
        <v>% ročního reálného růstu pro konstantní nárůst</v>
      </c>
      <c r="D70" s="15"/>
      <c r="E70" s="392">
        <f>'Vstupy V'!E10</f>
        <v>0</v>
      </c>
      <c r="F70" s="307"/>
    </row>
    <row r="71" spans="2:16" ht="13.5">
      <c r="B71" s="18"/>
      <c r="C71" s="59" t="str">
        <f>IF(CZ_EN=1,VLOOKUP("Průměrná reálná cena založená na Povoleném příjmu",Slovnik,1,0),VLOOKUP("Průměrná reálná cena založená na Povoleném příjmu",Slovnik,2,0))</f>
        <v>Průměrná reálná cena založená na Povoleném příjmu</v>
      </c>
      <c r="D71" s="15" t="str">
        <f>$D$56</f>
        <v>Kč/m3</v>
      </c>
      <c r="E71" s="21"/>
      <c r="F71" s="315"/>
      <c r="G71" s="22">
        <f>IF(OR('Vstupy V'!$E$9=1,'Spolecne vstupy'!G21=0),0,'Vypocty V'!G47/'Spolecne vstupy'!G21)</f>
        <v>0</v>
      </c>
      <c r="H71" s="22">
        <f>IF(OR('Vstupy V'!$E$9=1,'Spolecne vstupy'!H21=0),0,'Vypocty V'!H47/'Spolecne vstupy'!H21)</f>
        <v>0</v>
      </c>
      <c r="I71" s="22">
        <f>IF(OR('Vstupy V'!$E$9=1,'Spolecne vstupy'!I21=0),0,'Vypocty V'!I47/'Spolecne vstupy'!I21)</f>
        <v>0</v>
      </c>
      <c r="J71" s="22">
        <f>IF(OR('Vstupy V'!$E$9=1,'Spolecne vstupy'!J21=0),0,'Vypocty V'!J47/'Spolecne vstupy'!J21)</f>
        <v>0</v>
      </c>
      <c r="K71" s="22">
        <f>IF(OR('Vstupy V'!$E$9=1,'Spolecne vstupy'!K21=0),0,'Vypocty V'!K47/'Spolecne vstupy'!K21)</f>
        <v>0</v>
      </c>
      <c r="L71" s="22">
        <f>IF(OR('Vstupy V'!$E$9=1,'Spolecne vstupy'!L21=0),0,'Vypocty V'!L47/'Spolecne vstupy'!L21)</f>
        <v>0</v>
      </c>
      <c r="M71" s="22">
        <f>IF(OR('Vstupy V'!$E$9=1,'Spolecne vstupy'!M21=0),0,'Vypocty V'!M47/'Spolecne vstupy'!M21)</f>
        <v>0</v>
      </c>
      <c r="N71" s="22">
        <f>IF(OR('Vstupy V'!$E$9=1,'Spolecne vstupy'!N21=0),0,'Vypocty V'!N47/'Spolecne vstupy'!N21)</f>
        <v>0</v>
      </c>
      <c r="O71" s="22">
        <f>IF(OR('Vstupy V'!$E$9=1,'Spolecne vstupy'!O21=0),0,'Vypocty V'!O47/'Spolecne vstupy'!O21)</f>
        <v>0</v>
      </c>
      <c r="P71" s="22">
        <f>IF(OR('Vstupy V'!$E$9=1,'Spolecne vstupy'!P21=0),0,'Vypocty V'!P47/'Spolecne vstupy'!P21)</f>
        <v>0</v>
      </c>
    </row>
    <row r="72" spans="2:16" ht="13.5">
      <c r="B72" s="18"/>
      <c r="C72" s="59" t="str">
        <f>IF(CZ_EN=1,VLOOKUP("Průměrná nominální cena založená na Povoleném příjmu",Slovnik,1,0),VLOOKUP("Průměrná nominální cena založená na Povoleném příjmu",Slovnik,2,0))</f>
        <v>Průměrná nominální cena založená na Povoleném příjmu</v>
      </c>
      <c r="D72" s="15" t="str">
        <f>$D$56</f>
        <v>Kč/m3</v>
      </c>
      <c r="E72" s="21"/>
      <c r="F72" s="315"/>
      <c r="G72" s="22">
        <f>G71*'Spolecne vstupy'!G19</f>
        <v>0</v>
      </c>
      <c r="H72" s="22">
        <f>H71*'Spolecne vstupy'!H19</f>
        <v>0</v>
      </c>
      <c r="I72" s="22">
        <f>I71*'Spolecne vstupy'!I19</f>
        <v>0</v>
      </c>
      <c r="J72" s="22">
        <f>J71*'Spolecne vstupy'!J19</f>
        <v>0</v>
      </c>
      <c r="K72" s="22">
        <f>K71*'Spolecne vstupy'!K19</f>
        <v>0</v>
      </c>
      <c r="L72" s="22">
        <f>L71*'Spolecne vstupy'!L19</f>
        <v>0</v>
      </c>
      <c r="M72" s="22">
        <f>M71*'Spolecne vstupy'!M19</f>
        <v>0</v>
      </c>
      <c r="N72" s="22">
        <f>N71*'Spolecne vstupy'!N19</f>
        <v>0</v>
      </c>
      <c r="O72" s="22">
        <f>O71*'Spolecne vstupy'!O19</f>
        <v>0</v>
      </c>
      <c r="P72" s="22">
        <f>P71*'Spolecne vstupy'!P19</f>
        <v>0</v>
      </c>
    </row>
    <row r="73" spans="3:16" ht="13.5">
      <c r="C73" s="44"/>
      <c r="D73" s="44"/>
      <c r="E73" s="393"/>
      <c r="F73" s="394"/>
      <c r="G73" s="395"/>
      <c r="H73" s="396"/>
      <c r="I73" s="396"/>
      <c r="J73" s="396"/>
      <c r="K73" s="396"/>
      <c r="L73" s="396"/>
      <c r="M73" s="396"/>
      <c r="N73" s="396"/>
      <c r="O73" s="396"/>
      <c r="P73" s="396"/>
    </row>
    <row r="74" ht="13.5"/>
  </sheetData>
  <sheetProtection password="97A7" sheet="1" objects="1" scenarios="1" formatColumns="0" formatRows="0"/>
  <conditionalFormatting sqref="G25:P25">
    <cfRule type="expression" priority="1" dxfId="9" stopIfTrue="1">
      <formula>G$16=1</formula>
    </cfRule>
    <cfRule type="expression" priority="2" dxfId="8" stopIfTrue="1">
      <formula>G$16=2</formula>
    </cfRule>
  </conditionalFormatting>
  <conditionalFormatting sqref="G17:P24 G56:P57 G46:P48 G28:P41 G43:P43 G50:P50 G66:P66 G52:P54 G6:P9 G12:P14 G60:P64">
    <cfRule type="expression" priority="5" dxfId="2" stopIfTrue="1">
      <formula>G$16=1</formula>
    </cfRule>
    <cfRule type="expression" priority="6" dxfId="1" stopIfTrue="1">
      <formula>G$16=2</formula>
    </cfRule>
  </conditionalFormatting>
  <conditionalFormatting sqref="B68:E68 G68:P68">
    <cfRule type="expression" priority="11" dxfId="236" stopIfTrue="1">
      <formula>$A$68=1</formula>
    </cfRule>
  </conditionalFormatting>
  <conditionalFormatting sqref="F68 C69:F72">
    <cfRule type="expression" priority="12" dxfId="238" stopIfTrue="1">
      <formula>$A$68=1</formula>
    </cfRule>
  </conditionalFormatting>
  <conditionalFormatting sqref="G71:P72">
    <cfRule type="expression" priority="13" dxfId="239" stopIfTrue="1">
      <formula>AND(G$16=1,$A$68=2)</formula>
    </cfRule>
    <cfRule type="expression" priority="14" dxfId="238" stopIfTrue="1">
      <formula>$A$68=1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54" r:id="rId4"/>
  <headerFooter>
    <oddFooter>&amp;L&amp;A
&amp;F&amp;C&amp;P celkem &amp;N&amp;R&amp;T
&amp;D</oddFooter>
  </headerFooter>
  <ignoredErrors>
    <ignoredError sqref="B21:B23 B39 B35 B18:B19 B33 B29:B31" numberStoredAsText="1"/>
    <ignoredError sqref="C38" formula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tabColor indexed="52"/>
  </sheetPr>
  <dimension ref="A1:Q119"/>
  <sheetViews>
    <sheetView showGridLines="0" tabSelected="1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5" zeroHeight="1"/>
  <cols>
    <col min="1" max="2" width="4.57421875" style="1" customWidth="1"/>
    <col min="3" max="3" width="51.8515625" style="1" customWidth="1"/>
    <col min="4" max="4" width="13.140625" style="18" customWidth="1"/>
    <col min="5" max="16" width="10.140625" style="18" customWidth="1"/>
    <col min="17" max="17" width="5.8515625" style="1" customWidth="1"/>
    <col min="18" max="16384" width="9.140625" style="1" hidden="1" customWidth="1"/>
  </cols>
  <sheetData>
    <row r="1" spans="6:16" ht="14.25">
      <c r="F1" s="9">
        <f aca="true" t="shared" si="0" ref="F1:P1">IF(F2=current,0,IF(F2&lt;=current+DoPCP,1,IF(F2&lt;=current+clWW,2,3)))</f>
        <v>0</v>
      </c>
      <c r="G1" s="9">
        <f t="shared" si="0"/>
        <v>1</v>
      </c>
      <c r="H1" s="9">
        <f t="shared" si="0"/>
        <v>1</v>
      </c>
      <c r="I1" s="9">
        <f t="shared" si="0"/>
        <v>1</v>
      </c>
      <c r="J1" s="9">
        <f t="shared" si="0"/>
        <v>1</v>
      </c>
      <c r="K1" s="9">
        <f t="shared" si="0"/>
        <v>1</v>
      </c>
      <c r="L1" s="9">
        <f t="shared" si="0"/>
        <v>2</v>
      </c>
      <c r="M1" s="9">
        <f t="shared" si="0"/>
        <v>2</v>
      </c>
      <c r="N1" s="9">
        <f t="shared" si="0"/>
        <v>2</v>
      </c>
      <c r="O1" s="9">
        <f t="shared" si="0"/>
        <v>2</v>
      </c>
      <c r="P1" s="9">
        <f t="shared" si="0"/>
        <v>2</v>
      </c>
    </row>
    <row r="2" spans="3:16" ht="22.5" customHeight="1">
      <c r="C2" s="2" t="str">
        <f>IF(CZ_EN=1,VLOOKUP("VSTUPY PRO STOČNÉ",Slovnik,1,0),VLOOKUP("VSTUPY PRO STOČNÉ",Slovnik,2,0))</f>
        <v>VSTUPY PRO STOČNÉ</v>
      </c>
      <c r="D2" s="10" t="str">
        <f>'Spolecne vstupy'!$C$17</f>
        <v>rok</v>
      </c>
      <c r="E2" s="209">
        <f>F2-1</f>
        <v>2020</v>
      </c>
      <c r="F2" s="289">
        <f>current</f>
        <v>2021</v>
      </c>
      <c r="G2" s="134">
        <f aca="true" t="shared" si="1" ref="G2:P2">F2+1</f>
        <v>2022</v>
      </c>
      <c r="H2" s="134">
        <f t="shared" si="1"/>
        <v>2023</v>
      </c>
      <c r="I2" s="134">
        <f t="shared" si="1"/>
        <v>2024</v>
      </c>
      <c r="J2" s="134">
        <f t="shared" si="1"/>
        <v>2025</v>
      </c>
      <c r="K2" s="134">
        <f t="shared" si="1"/>
        <v>2026</v>
      </c>
      <c r="L2" s="134">
        <f t="shared" si="1"/>
        <v>2027</v>
      </c>
      <c r="M2" s="134">
        <f t="shared" si="1"/>
        <v>2028</v>
      </c>
      <c r="N2" s="134">
        <f t="shared" si="1"/>
        <v>2029</v>
      </c>
      <c r="O2" s="134">
        <f t="shared" si="1"/>
        <v>2030</v>
      </c>
      <c r="P2" s="134">
        <f t="shared" si="1"/>
        <v>2031</v>
      </c>
    </row>
    <row r="3" ht="14.25">
      <c r="D3" s="25"/>
    </row>
    <row r="4" spans="2:16" ht="14.25">
      <c r="B4" s="62" t="s">
        <v>2</v>
      </c>
      <c r="C4" s="62" t="str">
        <f>IF(CZ_EN=1,VLOOKUP("Vstupy vlastníka",Slovnik,1,0),VLOOKUP("Vstupy vlastníka",Slovnik,2,0))</f>
        <v>Vstupy vlastníka</v>
      </c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ht="14.25">
      <c r="D5" s="25"/>
    </row>
    <row r="6" spans="1:16" ht="14.25">
      <c r="A6" s="143" t="s">
        <v>308</v>
      </c>
      <c r="C6" s="15" t="str">
        <f>IF(CZ_EN=1,VLOOKUP("Nájemné",Slovnik,1,0),VLOOKUP("Nájemné",Slovnik,2,0))</f>
        <v>Nájemné</v>
      </c>
      <c r="D6" s="40" t="str">
        <f>IF(CZ_EN=1,VLOOKUP("tis. Kč",Slovnik,1,0),VLOOKUP("tis. Kč",Slovnik,2,0))</f>
        <v>tis. Kč</v>
      </c>
      <c r="E6" s="210">
        <v>0</v>
      </c>
      <c r="F6" s="290">
        <f>'Najemne S'!F26</f>
        <v>0</v>
      </c>
      <c r="G6" s="158">
        <f>'Najemne S'!G26</f>
        <v>880</v>
      </c>
      <c r="H6" s="158">
        <f>'Najemne S'!H26</f>
        <v>880</v>
      </c>
      <c r="I6" s="158">
        <f>'Najemne S'!I26</f>
        <v>880</v>
      </c>
      <c r="J6" s="158">
        <f>'Najemne S'!J26</f>
        <v>880</v>
      </c>
      <c r="K6" s="158">
        <f>'Najemne S'!K26</f>
        <v>880</v>
      </c>
      <c r="L6" s="158">
        <f>'Najemne S'!L26</f>
        <v>880</v>
      </c>
      <c r="M6" s="158">
        <f>'Najemne S'!M26</f>
        <v>880</v>
      </c>
      <c r="N6" s="158">
        <f>'Najemne S'!N26</f>
        <v>880</v>
      </c>
      <c r="O6" s="158">
        <f>'Najemne S'!O26</f>
        <v>880</v>
      </c>
      <c r="P6" s="158">
        <f>'Najemne S'!P26</f>
        <v>880</v>
      </c>
    </row>
    <row r="7" spans="1:16" ht="14.25">
      <c r="A7" s="18"/>
      <c r="B7" s="18"/>
      <c r="C7" s="18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 hidden="1">
      <c r="A8" s="18"/>
      <c r="B8" s="18"/>
      <c r="C8" s="37" t="str">
        <f>'Vstupy V'!C8</f>
        <v>Přístup k vyhlazení ceny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3.5" hidden="1">
      <c r="A9" s="18"/>
      <c r="B9" s="18"/>
      <c r="C9" s="18" t="str">
        <f>IF(CZ_EN=1,VLOOKUP("Žádné / konstantní růst",Slovnik,1,0),VLOOKUP("Žádné / konstantní růst",Slovnik,2,0))</f>
        <v>Žádné / konstantní růst</v>
      </c>
      <c r="D9" s="26"/>
      <c r="E9" s="428">
        <v>1</v>
      </c>
      <c r="F9" s="112"/>
      <c r="G9" s="113"/>
      <c r="H9" s="27"/>
      <c r="I9" s="27"/>
      <c r="J9" s="27"/>
      <c r="K9" s="27"/>
      <c r="L9" s="27"/>
      <c r="M9" s="27"/>
      <c r="N9" s="27"/>
      <c r="O9" s="27"/>
      <c r="P9" s="27"/>
    </row>
    <row r="10" spans="1:16" ht="13.5" hidden="1">
      <c r="A10" s="18"/>
      <c r="B10" s="18"/>
      <c r="C10" s="18" t="str">
        <f>IF(CZ_EN=1,VLOOKUP("% ročního reálného růstu pro konstantní nárůst",Slovnik,1,0),VLOOKUP("% ročního reálného růstu pro konstantní nárůst",Slovnik,2,0))</f>
        <v>% ročního reálného růstu pro konstantní nárůst</v>
      </c>
      <c r="D10" s="26"/>
      <c r="E10" s="12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4" ht="14.25">
      <c r="A11" s="18"/>
      <c r="B11" s="18"/>
      <c r="C11" s="18"/>
      <c r="D11" s="25"/>
    </row>
    <row r="12" spans="1:16" ht="14.25">
      <c r="A12" s="18"/>
      <c r="B12" s="62" t="s">
        <v>8</v>
      </c>
      <c r="C12" s="62" t="str">
        <f>IF(CZ_EN=1,VLOOKUP("Vstupy vlastníka / provozovatele",Slovnik,1,0),VLOOKUP("Vstupy vlastníka / provozovatele",Slovnik,2,0))</f>
        <v>Vstupy vlastníka / provozovatele</v>
      </c>
      <c r="D12" s="6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4" ht="14.25">
      <c r="A13" s="18"/>
      <c r="B13" s="18"/>
      <c r="C13" s="18"/>
      <c r="D13" s="25"/>
    </row>
    <row r="14" spans="1:5" ht="14.25">
      <c r="A14" s="18"/>
      <c r="B14" s="18"/>
      <c r="C14" s="41" t="str">
        <f>CONCATENATE(IF(CZ_EN=1,VLOOKUP("Požadované VaPNaK",Slovnik,1,0),VLOOKUP("Požadované VaPNaK",Slovnik,2,0))," - ",IF(CZ_EN=1,VLOOKUP("Základní hodnota",Slovnik,1,0),VLOOKUP("Základní hodnota",Slovnik,2,0)))</f>
        <v>Požadované VaPNaK - Základní hodnota</v>
      </c>
      <c r="D14" s="41"/>
      <c r="E14" s="355">
        <v>0.07</v>
      </c>
    </row>
    <row r="15" spans="1:5" ht="14.25">
      <c r="A15" s="18"/>
      <c r="B15" s="18"/>
      <c r="C15" s="45" t="str">
        <f>IF(CZ_EN=1,VLOOKUP("Upravená hodnota (pro provozní společnost)",Slovnik,1,0),VLOOKUP("Upravená hodnota (pro provozní společnost)",Slovnik,2,0))</f>
        <v>Upravená hodnota (pro provozní společnost)</v>
      </c>
      <c r="D15" s="45"/>
      <c r="E15" s="161">
        <f>E14</f>
        <v>0.07</v>
      </c>
    </row>
    <row r="16" spans="1:4" ht="14.25">
      <c r="A16" s="18"/>
      <c r="B16" s="18"/>
      <c r="C16" s="18"/>
      <c r="D16" s="25"/>
    </row>
    <row r="17" spans="1:5" ht="14.25">
      <c r="A17" s="143" t="s">
        <v>308</v>
      </c>
      <c r="B17" s="18"/>
      <c r="C17" s="15" t="str">
        <f>IF(CZ_EN=1,VLOOKUP("Zbývající délka smlouvy",Slovnik,1,0),VLOOKUP("Zbývající délka smlouvy",Slovnik,2,0))</f>
        <v>Zbývající délka smlouvy</v>
      </c>
      <c r="D17" s="40" t="str">
        <f>IF(CZ_EN=1,VLOOKUP("roky",Slovnik,1,0),VLOOKUP("roky",Slovnik,2,0))</f>
        <v>roky</v>
      </c>
      <c r="E17" s="136">
        <v>10</v>
      </c>
    </row>
    <row r="18" spans="1:4" ht="14.25">
      <c r="A18" s="18"/>
      <c r="B18" s="18"/>
      <c r="C18" s="18"/>
      <c r="D18" s="25"/>
    </row>
    <row r="19" spans="1:16" ht="14.25">
      <c r="A19" s="18"/>
      <c r="B19" s="18"/>
      <c r="C19" s="37" t="str">
        <f>IF(CZ_EN=1,VLOOKUP("Výroba",Slovnik,1,0),VLOOKUP("Výroba",Slovnik,2,0))</f>
        <v>Výroba</v>
      </c>
      <c r="D19" s="28"/>
      <c r="E19" s="372">
        <f>E2</f>
        <v>2020</v>
      </c>
      <c r="F19" s="372">
        <f aca="true" t="shared" si="2" ref="F19:P19">F2</f>
        <v>2021</v>
      </c>
      <c r="G19" s="372">
        <f t="shared" si="2"/>
        <v>2022</v>
      </c>
      <c r="H19" s="372">
        <f t="shared" si="2"/>
        <v>2023</v>
      </c>
      <c r="I19" s="372">
        <f t="shared" si="2"/>
        <v>2024</v>
      </c>
      <c r="J19" s="372">
        <f t="shared" si="2"/>
        <v>2025</v>
      </c>
      <c r="K19" s="372">
        <f t="shared" si="2"/>
        <v>2026</v>
      </c>
      <c r="L19" s="372">
        <f t="shared" si="2"/>
        <v>2027</v>
      </c>
      <c r="M19" s="372">
        <f t="shared" si="2"/>
        <v>2028</v>
      </c>
      <c r="N19" s="372">
        <f t="shared" si="2"/>
        <v>2029</v>
      </c>
      <c r="O19" s="372">
        <f t="shared" si="2"/>
        <v>2030</v>
      </c>
      <c r="P19" s="372">
        <f t="shared" si="2"/>
        <v>2031</v>
      </c>
    </row>
    <row r="20" spans="1:16" ht="14.25">
      <c r="A20" s="143" t="s">
        <v>308</v>
      </c>
      <c r="B20" s="18"/>
      <c r="C20" s="41" t="str">
        <f>IF(CZ_EN=1,VLOOKUP("Voda vyčištěná (vlastní ČOV)",Slovnik,1,0),VLOOKUP("Voda vyčištěná (vlastní ČOV)",Slovnik,2,0))</f>
        <v>Voda vyčištěná (vlastní ČOV)</v>
      </c>
      <c r="D20" s="42" t="str">
        <f>IF(CZ_EN=1,VLOOKUP("tis. m3/rok",Slovnik,1,0),VLOOKUP("tis. m3/rok",Slovnik,2,0))</f>
        <v>tis. m3/rok</v>
      </c>
      <c r="E20" s="205">
        <v>0</v>
      </c>
      <c r="F20" s="175">
        <v>0</v>
      </c>
      <c r="G20" s="175">
        <v>2</v>
      </c>
      <c r="H20" s="175">
        <v>2</v>
      </c>
      <c r="I20" s="175">
        <v>2</v>
      </c>
      <c r="J20" s="175">
        <v>2</v>
      </c>
      <c r="K20" s="175">
        <v>2</v>
      </c>
      <c r="L20" s="175">
        <v>2</v>
      </c>
      <c r="M20" s="175">
        <v>2</v>
      </c>
      <c r="N20" s="175">
        <v>2</v>
      </c>
      <c r="O20" s="175">
        <v>2</v>
      </c>
      <c r="P20" s="175">
        <v>2</v>
      </c>
    </row>
    <row r="21" spans="1:16" ht="14.25">
      <c r="A21" s="143" t="s">
        <v>308</v>
      </c>
      <c r="B21" s="18"/>
      <c r="C21" s="44" t="str">
        <f>IF(CZ_EN=1,VLOOKUP("Voda vyčištěná (jiná ČOV)",Slovnik,1,0),VLOOKUP("Voda vyčištěná (jiná ČOV)",Slovnik,2,0))</f>
        <v>Voda vyčištěná (jiná ČOV)</v>
      </c>
      <c r="D21" s="28" t="str">
        <f>$D$20</f>
        <v>tis. m3/rok</v>
      </c>
      <c r="E21" s="432">
        <f>E23-E20</f>
        <v>0</v>
      </c>
      <c r="F21" s="291">
        <f>F23-F20</f>
        <v>0</v>
      </c>
      <c r="G21" s="47">
        <f aca="true" t="shared" si="3" ref="G21:P21">G23-G20</f>
        <v>205.5</v>
      </c>
      <c r="H21" s="47">
        <f t="shared" si="3"/>
        <v>281.3</v>
      </c>
      <c r="I21" s="47">
        <f t="shared" si="3"/>
        <v>295.6</v>
      </c>
      <c r="J21" s="47">
        <f t="shared" si="3"/>
        <v>308.6</v>
      </c>
      <c r="K21" s="47">
        <f t="shared" si="3"/>
        <v>315.1</v>
      </c>
      <c r="L21" s="47">
        <f t="shared" si="3"/>
        <v>315.1</v>
      </c>
      <c r="M21" s="47">
        <f t="shared" si="3"/>
        <v>315.1</v>
      </c>
      <c r="N21" s="47">
        <f t="shared" si="3"/>
        <v>315.1</v>
      </c>
      <c r="O21" s="47">
        <f t="shared" si="3"/>
        <v>315.1</v>
      </c>
      <c r="P21" s="47">
        <f t="shared" si="3"/>
        <v>315.1</v>
      </c>
    </row>
    <row r="22" spans="1:16" ht="13.5" hidden="1">
      <c r="A22" s="143" t="s">
        <v>308</v>
      </c>
      <c r="B22" s="18"/>
      <c r="C22" s="45"/>
      <c r="D22" s="46" t="str">
        <f>$D$20</f>
        <v>tis. m3/rok</v>
      </c>
      <c r="E22" s="21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6" ht="14.25">
      <c r="A23" s="18"/>
      <c r="B23" s="18"/>
      <c r="C23" s="45" t="str">
        <f>IF(CZ_EN=1,VLOOKUP("Voda vyčištěná - celkem",Slovnik,1,0),VLOOKUP("Voda vyčištěná - celkem",Slovnik,2,0))</f>
        <v>Voda vyčištěná - celkem</v>
      </c>
      <c r="D23" s="46" t="str">
        <f>$D$20</f>
        <v>tis. m3/rok</v>
      </c>
      <c r="E23" s="211">
        <v>0</v>
      </c>
      <c r="F23" s="411">
        <f>'[1]OV výpočty'!F253+'[1]OV výpočty'!F128+'[1]OV výpočty'!F174+'[1]OV výpočty'!F220</f>
        <v>0</v>
      </c>
      <c r="G23" s="181">
        <f>'[1]OV výpočty'!G253+'[1]OV výpočty'!G128+'[1]OV výpočty'!G174+'[1]OV výpočty'!G220</f>
        <v>207.5</v>
      </c>
      <c r="H23" s="181">
        <f>'[1]OV výpočty'!H253+'[1]OV výpočty'!H128+'[1]OV výpočty'!H174+'[1]OV výpočty'!H220</f>
        <v>283.3</v>
      </c>
      <c r="I23" s="181">
        <f>'[1]OV výpočty'!I253+'[1]OV výpočty'!I128+'[1]OV výpočty'!I174+'[1]OV výpočty'!I220</f>
        <v>297.6</v>
      </c>
      <c r="J23" s="181">
        <f>'[1]OV výpočty'!J253+'[1]OV výpočty'!J128+'[1]OV výpočty'!J174+'[1]OV výpočty'!J220</f>
        <v>310.6</v>
      </c>
      <c r="K23" s="181">
        <f>'[1]OV výpočty'!K253+'[1]OV výpočty'!K128+'[1]OV výpočty'!K174+'[1]OV výpočty'!K220</f>
        <v>317.1</v>
      </c>
      <c r="L23" s="181">
        <f>'[1]OV výpočty'!L253+'[1]OV výpočty'!L128+'[1]OV výpočty'!L174+'[1]OV výpočty'!L220</f>
        <v>317.1</v>
      </c>
      <c r="M23" s="181">
        <f>'[1]OV výpočty'!M253+'[1]OV výpočty'!M128+'[1]OV výpočty'!M174+'[1]OV výpočty'!M220</f>
        <v>317.1</v>
      </c>
      <c r="N23" s="181">
        <f>'[1]OV výpočty'!N253+'[1]OV výpočty'!N128+'[1]OV výpočty'!N174+'[1]OV výpočty'!N220</f>
        <v>317.1</v>
      </c>
      <c r="O23" s="181">
        <f>'[1]OV výpočty'!O253+'[1]OV výpočty'!O128+'[1]OV výpočty'!O174+'[1]OV výpočty'!O220</f>
        <v>317.1</v>
      </c>
      <c r="P23" s="181">
        <f>'[1]OV výpočty'!P253+'[1]OV výpočty'!P128+'[1]OV výpočty'!P174+'[1]OV výpočty'!P220</f>
        <v>317.1</v>
      </c>
    </row>
    <row r="24" spans="1:16" ht="14.25">
      <c r="A24" s="18"/>
      <c r="B24" s="18"/>
      <c r="C24" s="18"/>
      <c r="D24" s="415" t="s">
        <v>594</v>
      </c>
      <c r="E24" s="416">
        <f>SUM(F24:P24)</f>
        <v>0</v>
      </c>
      <c r="F24" s="39">
        <f>F23-('[1]OV výpočty'!F253+'[1]OV výpočty'!F128+'[1]OV výpočty'!F174+'[1]OV výpočty'!F220)</f>
        <v>0</v>
      </c>
      <c r="G24" s="39">
        <f>G23-('[1]OV výpočty'!G253+'[1]OV výpočty'!G128+'[1]OV výpočty'!G174+'[1]OV výpočty'!G220)</f>
        <v>0</v>
      </c>
      <c r="H24" s="39">
        <f>H23-('[1]OV výpočty'!H253+'[1]OV výpočty'!H128+'[1]OV výpočty'!H174+'[1]OV výpočty'!H220)</f>
        <v>0</v>
      </c>
      <c r="I24" s="39">
        <f>I23-('[1]OV výpočty'!I253+'[1]OV výpočty'!I128+'[1]OV výpočty'!I174+'[1]OV výpočty'!I220)</f>
        <v>0</v>
      </c>
      <c r="J24" s="39">
        <f>J23-('[1]OV výpočty'!J253+'[1]OV výpočty'!J128+'[1]OV výpočty'!J174+'[1]OV výpočty'!J220)</f>
        <v>0</v>
      </c>
      <c r="K24" s="39">
        <f>K23-('[1]OV výpočty'!K253+'[1]OV výpočty'!K128+'[1]OV výpočty'!K174+'[1]OV výpočty'!K220)</f>
        <v>0</v>
      </c>
      <c r="L24" s="39">
        <f>L23-('[1]OV výpočty'!L253+'[1]OV výpočty'!L128+'[1]OV výpočty'!L174+'[1]OV výpočty'!L220)</f>
        <v>0</v>
      </c>
      <c r="M24" s="39">
        <f>M23-('[1]OV výpočty'!M253+'[1]OV výpočty'!M128+'[1]OV výpočty'!M174+'[1]OV výpočty'!M220)</f>
        <v>0</v>
      </c>
      <c r="N24" s="39">
        <f>N23-('[1]OV výpočty'!N253+'[1]OV výpočty'!N128+'[1]OV výpočty'!N174+'[1]OV výpočty'!N220)</f>
        <v>0</v>
      </c>
      <c r="O24" s="39">
        <f>O23-('[1]OV výpočty'!O253+'[1]OV výpočty'!O128+'[1]OV výpočty'!O174+'[1]OV výpočty'!O220)</f>
        <v>0</v>
      </c>
      <c r="P24" s="39">
        <f>P23-('[1]OV výpočty'!P253+'[1]OV výpočty'!P128+'[1]OV výpočty'!P174+'[1]OV výpočty'!P220)</f>
        <v>0</v>
      </c>
    </row>
    <row r="25" spans="1:16" ht="14.25">
      <c r="A25" s="18"/>
      <c r="B25" s="18"/>
      <c r="C25" s="37" t="str">
        <f>IF(CZ_EN=1,VLOOKUP("Voda odpadní odváděná fakturovatelná",Slovnik,1,0),VLOOKUP("Voda odpadní odváděná fakturovatelná",Slovnik,2,0))</f>
        <v>Voda odpadní odváděná fakturovatelná</v>
      </c>
      <c r="D25" s="25"/>
      <c r="E25" s="373">
        <f>E2</f>
        <v>2020</v>
      </c>
      <c r="F25" s="373">
        <f aca="true" t="shared" si="4" ref="F25:P25">F2</f>
        <v>2021</v>
      </c>
      <c r="G25" s="373">
        <f t="shared" si="4"/>
        <v>2022</v>
      </c>
      <c r="H25" s="373">
        <f t="shared" si="4"/>
        <v>2023</v>
      </c>
      <c r="I25" s="373">
        <f t="shared" si="4"/>
        <v>2024</v>
      </c>
      <c r="J25" s="373">
        <f t="shared" si="4"/>
        <v>2025</v>
      </c>
      <c r="K25" s="373">
        <f t="shared" si="4"/>
        <v>2026</v>
      </c>
      <c r="L25" s="373">
        <f t="shared" si="4"/>
        <v>2027</v>
      </c>
      <c r="M25" s="373">
        <f t="shared" si="4"/>
        <v>2028</v>
      </c>
      <c r="N25" s="373">
        <f t="shared" si="4"/>
        <v>2029</v>
      </c>
      <c r="O25" s="373">
        <f t="shared" si="4"/>
        <v>2030</v>
      </c>
      <c r="P25" s="373">
        <f t="shared" si="4"/>
        <v>2031</v>
      </c>
    </row>
    <row r="26" spans="1:16" ht="14.25">
      <c r="A26" s="143" t="s">
        <v>308</v>
      </c>
      <c r="B26" s="18"/>
      <c r="C26" s="41" t="str">
        <f>IF(CZ_EN=1,VLOOKUP(" - domácnosti",Slovnik,1,0),VLOOKUP(" - domácnosti",Slovnik,2,0))</f>
        <v> - domácnosti</v>
      </c>
      <c r="D26" s="42" t="str">
        <f>$D$20</f>
        <v>tis. m3/rok</v>
      </c>
      <c r="E26" s="205">
        <v>0</v>
      </c>
      <c r="F26" s="175">
        <v>0</v>
      </c>
      <c r="G26" s="175">
        <v>119</v>
      </c>
      <c r="H26" s="175">
        <v>174</v>
      </c>
      <c r="I26" s="175">
        <v>185</v>
      </c>
      <c r="J26" s="175">
        <v>195</v>
      </c>
      <c r="K26" s="175">
        <v>200</v>
      </c>
      <c r="L26" s="175">
        <v>200</v>
      </c>
      <c r="M26" s="175">
        <v>200</v>
      </c>
      <c r="N26" s="175">
        <v>200</v>
      </c>
      <c r="O26" s="175">
        <v>200</v>
      </c>
      <c r="P26" s="175">
        <v>200</v>
      </c>
    </row>
    <row r="27" spans="1:16" ht="14.25">
      <c r="A27" s="18"/>
      <c r="B27" s="18"/>
      <c r="C27" s="45" t="str">
        <f>CONCATENATE(IF(CZ_EN=1,VLOOKUP(" - ostatní",Slovnik,1,0),VLOOKUP(" - ostatní",Slovnik,2,0))," ",IF(CZ_EN=1,VLOOKUP("(včetně dešťové)",Slovnik,1,0),VLOOKUP("(včetně dešťové)",Slovnik,2,0)))</f>
        <v> - ostatní (včetně dešťové)</v>
      </c>
      <c r="D27" s="46" t="str">
        <f>$D$20</f>
        <v>tis. m3/rok</v>
      </c>
      <c r="E27" s="212">
        <f aca="true" t="shared" si="5" ref="E27:P27">E28-E26</f>
        <v>0</v>
      </c>
      <c r="F27" s="291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</row>
    <row r="28" spans="1:16" ht="14.25">
      <c r="A28" s="143" t="s">
        <v>308</v>
      </c>
      <c r="B28" s="18"/>
      <c r="C28" s="138" t="str">
        <f>CONCATENATE(IF(CZ_EN=1,VLOOKUP("Voda odpadní odváděná fakturovatelná",Slovnik,1,0),VLOOKUP("Voda odpadní odváděná fakturovatelná",Slovnik,2,0))," ",IF(CZ_EN=1,VLOOKUP("(včetně dešťové)",Slovnik,1,0),VLOOKUP("(včetně dešťové)",Slovnik,2,0)))</f>
        <v>Voda odpadní odváděná fakturovatelná (včetně dešťové)</v>
      </c>
      <c r="D28" s="46" t="str">
        <f>$D$20</f>
        <v>tis. m3/rok</v>
      </c>
      <c r="E28" s="213">
        <v>0</v>
      </c>
      <c r="F28" s="411">
        <f>'[1]OV ex ante'!F180</f>
        <v>0</v>
      </c>
      <c r="G28" s="181">
        <f>'[1]OV ex ante'!G180</f>
        <v>119</v>
      </c>
      <c r="H28" s="181">
        <f>'[1]OV ex ante'!H180</f>
        <v>174</v>
      </c>
      <c r="I28" s="181">
        <f>'[1]OV ex ante'!I180</f>
        <v>185</v>
      </c>
      <c r="J28" s="181">
        <f>'[1]OV ex ante'!J180</f>
        <v>195</v>
      </c>
      <c r="K28" s="181">
        <f>'[1]OV ex ante'!K180</f>
        <v>200</v>
      </c>
      <c r="L28" s="181">
        <f>'[1]OV ex ante'!L180</f>
        <v>200</v>
      </c>
      <c r="M28" s="181">
        <f>'[1]OV ex ante'!M180</f>
        <v>200</v>
      </c>
      <c r="N28" s="181">
        <f>'[1]OV ex ante'!N180</f>
        <v>200</v>
      </c>
      <c r="O28" s="181">
        <f>'[1]OV ex ante'!O180</f>
        <v>200</v>
      </c>
      <c r="P28" s="181">
        <f>'[1]OV ex ante'!P180</f>
        <v>200</v>
      </c>
    </row>
    <row r="29" spans="1:16" ht="14.25">
      <c r="A29" s="18"/>
      <c r="B29" s="18"/>
      <c r="C29" s="18"/>
      <c r="D29" s="415" t="s">
        <v>594</v>
      </c>
      <c r="E29" s="416">
        <f>SUM(F29:P29)</f>
        <v>0</v>
      </c>
      <c r="F29" s="39">
        <f>F28-'[1]OV ex ante'!F180</f>
        <v>0</v>
      </c>
      <c r="G29" s="39">
        <f>G28-'[1]OV ex ante'!G180</f>
        <v>0</v>
      </c>
      <c r="H29" s="39">
        <f>H28-'[1]OV ex ante'!H180</f>
        <v>0</v>
      </c>
      <c r="I29" s="39">
        <f>I28-'[1]OV ex ante'!I180</f>
        <v>0</v>
      </c>
      <c r="J29" s="39">
        <f>J28-'[1]OV ex ante'!J180</f>
        <v>0</v>
      </c>
      <c r="K29" s="39">
        <f>K28-'[1]OV ex ante'!K180</f>
        <v>0</v>
      </c>
      <c r="L29" s="39">
        <f>L28-'[1]OV ex ante'!L180</f>
        <v>0</v>
      </c>
      <c r="M29" s="39">
        <f>M28-'[1]OV ex ante'!M180</f>
        <v>0</v>
      </c>
      <c r="N29" s="39">
        <f>N28-'[1]OV ex ante'!N180</f>
        <v>0</v>
      </c>
      <c r="O29" s="39">
        <f>O28-'[1]OV ex ante'!O180</f>
        <v>0</v>
      </c>
      <c r="P29" s="39">
        <f>P28-'[1]OV ex ante'!P180</f>
        <v>0</v>
      </c>
    </row>
    <row r="30" spans="1:16" ht="14.25">
      <c r="A30" s="18"/>
      <c r="B30" s="62" t="s">
        <v>10</v>
      </c>
      <c r="C30" s="62" t="str">
        <f>IF(CZ_EN=1,VLOOKUP("Vstupy provozovatele",Slovnik,1,0),VLOOKUP("Vstupy provozovatele",Slovnik,2,0))</f>
        <v>Vstupy provozovatele</v>
      </c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4.25">
      <c r="A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8"/>
      <c r="B32" s="18"/>
      <c r="C32" s="37" t="str">
        <f>'Vstupy V'!C32</f>
        <v>Přidělený provozní NEBO infrastrukturní majetek (provozovatele)</v>
      </c>
      <c r="D32" s="25"/>
      <c r="E32" s="32"/>
      <c r="F32" s="32"/>
      <c r="G32" s="35"/>
      <c r="H32" s="35"/>
      <c r="I32" s="32"/>
      <c r="J32" s="32"/>
      <c r="K32" s="32"/>
      <c r="L32" s="32"/>
      <c r="M32" s="32"/>
      <c r="N32" s="32"/>
      <c r="O32" s="225" t="s">
        <v>403</v>
      </c>
      <c r="P32" s="226" t="s">
        <v>402</v>
      </c>
    </row>
    <row r="33" spans="1:16" ht="14.25">
      <c r="A33" s="143" t="s">
        <v>308</v>
      </c>
      <c r="B33" s="18"/>
      <c r="C33" s="15" t="str">
        <f>IF(CZ_EN=1,VLOOKUP("Vstupní ReHoM",Slovnik,1,0),VLOOKUP("Vstupní ReHoM",Slovnik,2,0))</f>
        <v>Vstupní ReHoM</v>
      </c>
      <c r="D33" s="40" t="str">
        <f>$D$6</f>
        <v>tis. Kč</v>
      </c>
      <c r="E33" s="170">
        <f>'[2]Nabidka dodavatele'!$F$44</f>
        <v>0</v>
      </c>
      <c r="F33" s="32"/>
      <c r="G33" s="35"/>
      <c r="H33" s="35"/>
      <c r="I33" s="32"/>
      <c r="J33" s="32"/>
      <c r="K33" s="32"/>
      <c r="L33" s="32"/>
      <c r="M33" s="32"/>
      <c r="N33" s="32"/>
      <c r="O33" s="32"/>
      <c r="P33" s="32"/>
    </row>
    <row r="34" spans="1:17" ht="14.25">
      <c r="A34" s="18"/>
      <c r="B34" s="18"/>
      <c r="C34" s="18"/>
      <c r="D34" s="25"/>
      <c r="E34" s="373">
        <f>E2</f>
        <v>2020</v>
      </c>
      <c r="F34" s="373">
        <f aca="true" t="shared" si="6" ref="F34:P34">F2</f>
        <v>2021</v>
      </c>
      <c r="G34" s="373">
        <f t="shared" si="6"/>
        <v>2022</v>
      </c>
      <c r="H34" s="373">
        <f t="shared" si="6"/>
        <v>2023</v>
      </c>
      <c r="I34" s="373">
        <f t="shared" si="6"/>
        <v>2024</v>
      </c>
      <c r="J34" s="373">
        <f t="shared" si="6"/>
        <v>2025</v>
      </c>
      <c r="K34" s="373">
        <f t="shared" si="6"/>
        <v>2026</v>
      </c>
      <c r="L34" s="373">
        <f t="shared" si="6"/>
        <v>2027</v>
      </c>
      <c r="M34" s="373">
        <f t="shared" si="6"/>
        <v>2028</v>
      </c>
      <c r="N34" s="373">
        <f t="shared" si="6"/>
        <v>2029</v>
      </c>
      <c r="O34" s="373">
        <f t="shared" si="6"/>
        <v>2030</v>
      </c>
      <c r="P34" s="373">
        <f t="shared" si="6"/>
        <v>2031</v>
      </c>
      <c r="Q34" s="9">
        <f>Q35+Q37</f>
        <v>0</v>
      </c>
    </row>
    <row r="35" spans="1:17" ht="14.25">
      <c r="A35" s="143" t="s">
        <v>308</v>
      </c>
      <c r="B35" s="18"/>
      <c r="C35" s="41" t="str">
        <f>CONCATENATE(IF(CZ_EN=1,VLOOKUP("Účetní odpisy stávajícího majetku",Slovnik,1,0),VLOOKUP("Účetní odpisy stávajícího majetku",Slovnik,2,0))," - ",IF(CZ_EN=1,VLOOKUP("Běžné ceny",Slovnik,1,0),VLOOKUP("Běžné ceny",Slovnik,2,0)))</f>
        <v>Účetní odpisy stávajícího majetku - Běžné ceny</v>
      </c>
      <c r="D35" s="48" t="str">
        <f>$D$6</f>
        <v>tis. Kč</v>
      </c>
      <c r="E35" s="205">
        <v>0</v>
      </c>
      <c r="F35" s="175">
        <v>0</v>
      </c>
      <c r="G35" s="175">
        <f>'[2]Nabidka dodavatele'!G45</f>
        <v>0</v>
      </c>
      <c r="H35" s="175">
        <f>'[2]Nabidka dodavatele'!H45</f>
        <v>0</v>
      </c>
      <c r="I35" s="175">
        <f>'[2]Nabidka dodavatele'!I45</f>
        <v>0</v>
      </c>
      <c r="J35" s="175">
        <f>'[2]Nabidka dodavatele'!J45</f>
        <v>0</v>
      </c>
      <c r="K35" s="175">
        <f>'[2]Nabidka dodavatele'!K45</f>
        <v>0</v>
      </c>
      <c r="L35" s="175">
        <f>'[2]Nabidka dodavatele'!L45</f>
        <v>0</v>
      </c>
      <c r="M35" s="175">
        <f>'[2]Nabidka dodavatele'!M45</f>
        <v>0</v>
      </c>
      <c r="N35" s="175">
        <f>'[2]Nabidka dodavatele'!N45</f>
        <v>0</v>
      </c>
      <c r="O35" s="175">
        <f>'[2]Nabidka dodavatele'!O45</f>
        <v>0</v>
      </c>
      <c r="P35" s="175">
        <f>'[2]Nabidka dodavatele'!P45</f>
        <v>0</v>
      </c>
      <c r="Q35" s="9">
        <f>Q37+Q45+Q47+Q49+Q51+Q53+Q55+Q57+Q59+Q61+Q63</f>
        <v>0</v>
      </c>
    </row>
    <row r="36" spans="1:17" ht="13.5" hidden="1">
      <c r="A36" s="160"/>
      <c r="B36" s="18"/>
      <c r="C36" s="184" t="str">
        <f>$C$46</f>
        <v> jako % vstupní ceny</v>
      </c>
      <c r="D36" s="185" t="s">
        <v>67</v>
      </c>
      <c r="E36" s="214">
        <f>IF($E$33=0,0,E35/$E$33)</f>
        <v>0</v>
      </c>
      <c r="F36" s="292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9"/>
    </row>
    <row r="37" spans="1:17" ht="14.25">
      <c r="A37" s="143" t="s">
        <v>308</v>
      </c>
      <c r="B37" s="18"/>
      <c r="C37" s="44" t="str">
        <f>'Spolecne vstupy'!B29</f>
        <v>Regulatorní odpisy stávajícího majetku - Stálé ceny</v>
      </c>
      <c r="D37" s="52" t="str">
        <f>$D$6</f>
        <v>tis. Kč</v>
      </c>
      <c r="E37" s="207">
        <v>0</v>
      </c>
      <c r="F37" s="176">
        <v>0</v>
      </c>
      <c r="G37" s="176">
        <f>G35</f>
        <v>0</v>
      </c>
      <c r="H37" s="176">
        <f aca="true" t="shared" si="7" ref="H37:P37">H35</f>
        <v>0</v>
      </c>
      <c r="I37" s="176">
        <f t="shared" si="7"/>
        <v>0</v>
      </c>
      <c r="J37" s="176">
        <f t="shared" si="7"/>
        <v>0</v>
      </c>
      <c r="K37" s="176">
        <f t="shared" si="7"/>
        <v>0</v>
      </c>
      <c r="L37" s="176">
        <f t="shared" si="7"/>
        <v>0</v>
      </c>
      <c r="M37" s="176">
        <f t="shared" si="7"/>
        <v>0</v>
      </c>
      <c r="N37" s="176">
        <f t="shared" si="7"/>
        <v>0</v>
      </c>
      <c r="O37" s="176">
        <f t="shared" si="7"/>
        <v>0</v>
      </c>
      <c r="P37" s="176">
        <f t="shared" si="7"/>
        <v>0</v>
      </c>
      <c r="Q37" s="9">
        <f>IF(Q38&gt;1,1,0)</f>
        <v>0</v>
      </c>
    </row>
    <row r="38" spans="1:17" ht="14.25">
      <c r="A38" s="160"/>
      <c r="B38" s="18"/>
      <c r="C38" s="186" t="str">
        <f>$C$46</f>
        <v> jako % vstupní ceny</v>
      </c>
      <c r="D38" s="187" t="s">
        <v>67</v>
      </c>
      <c r="E38" s="215">
        <f>IF($E$33=0,0,E37/$E$33)</f>
        <v>0</v>
      </c>
      <c r="F38" s="293">
        <f aca="true" t="shared" si="8" ref="F38:P38">IF($E$33=0,0,F37/$E$33)</f>
        <v>0</v>
      </c>
      <c r="G38" s="190">
        <f t="shared" si="8"/>
        <v>0</v>
      </c>
      <c r="H38" s="190">
        <f t="shared" si="8"/>
        <v>0</v>
      </c>
      <c r="I38" s="190">
        <f t="shared" si="8"/>
        <v>0</v>
      </c>
      <c r="J38" s="190">
        <f t="shared" si="8"/>
        <v>0</v>
      </c>
      <c r="K38" s="190">
        <f t="shared" si="8"/>
        <v>0</v>
      </c>
      <c r="L38" s="190">
        <f t="shared" si="8"/>
        <v>0</v>
      </c>
      <c r="M38" s="190">
        <f t="shared" si="8"/>
        <v>0</v>
      </c>
      <c r="N38" s="190">
        <f t="shared" si="8"/>
        <v>0</v>
      </c>
      <c r="O38" s="190">
        <f t="shared" si="8"/>
        <v>0</v>
      </c>
      <c r="P38" s="190">
        <f t="shared" si="8"/>
        <v>0</v>
      </c>
      <c r="Q38" s="230">
        <f>SUM(F38:P38)</f>
        <v>0</v>
      </c>
    </row>
    <row r="39" spans="1:17" s="133" customFormat="1" ht="14.25">
      <c r="A39" s="132"/>
      <c r="B39" s="132"/>
      <c r="C39" s="129"/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9"/>
    </row>
    <row r="40" spans="1:17" ht="14.25">
      <c r="A40" s="143" t="s">
        <v>308</v>
      </c>
      <c r="B40" s="18"/>
      <c r="C40" s="15" t="str">
        <f>IF(CZ_EN=1,VLOOKUP("Investiční náklady",Slovnik,1,0),VLOOKUP("Investiční náklady",Slovnik,2,0))</f>
        <v>Investiční náklady</v>
      </c>
      <c r="D40" s="40" t="str">
        <f>$D$6</f>
        <v>tis. Kč</v>
      </c>
      <c r="E40" s="173"/>
      <c r="F40" s="182">
        <v>0</v>
      </c>
      <c r="G40" s="182">
        <f>'[2]Nabidka dodavatele'!G47</f>
        <v>0</v>
      </c>
      <c r="H40" s="182">
        <f>'[2]Nabidka dodavatele'!H47</f>
        <v>0</v>
      </c>
      <c r="I40" s="182">
        <f>'[2]Nabidka dodavatele'!I47</f>
        <v>0</v>
      </c>
      <c r="J40" s="182">
        <f>'[2]Nabidka dodavatele'!J47</f>
        <v>0</v>
      </c>
      <c r="K40" s="182">
        <f>'[2]Nabidka dodavatele'!K47</f>
        <v>0</v>
      </c>
      <c r="L40" s="182">
        <f>'[2]Nabidka dodavatele'!L47</f>
        <v>0</v>
      </c>
      <c r="M40" s="182">
        <f>'[2]Nabidka dodavatele'!M47</f>
        <v>0</v>
      </c>
      <c r="N40" s="182">
        <f>'[2]Nabidka dodavatele'!N47</f>
        <v>0</v>
      </c>
      <c r="O40" s="182">
        <f>'[2]Nabidka dodavatele'!O47</f>
        <v>0</v>
      </c>
      <c r="P40" s="182">
        <f>'[2]Nabidka dodavatele'!P47</f>
        <v>0</v>
      </c>
      <c r="Q40" s="9"/>
    </row>
    <row r="41" spans="1:17" ht="14.25">
      <c r="A41" s="18"/>
      <c r="B41" s="18"/>
      <c r="C41" s="18"/>
      <c r="D41" s="2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9"/>
    </row>
    <row r="42" spans="1:17" ht="14.25">
      <c r="A42" s="18"/>
      <c r="B42" s="18"/>
      <c r="C42" s="15" t="str">
        <f>IF(CZ_EN=1,VLOOKUP("Odpisy plánovaných investic",Slovnik,1,0),VLOOKUP("Odpisy plánovaných investic",Slovnik,2,0))</f>
        <v>Odpisy plánovaných investic</v>
      </c>
      <c r="D42" s="40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9"/>
    </row>
    <row r="43" spans="1:17" ht="14.25">
      <c r="A43" s="143" t="s">
        <v>308</v>
      </c>
      <c r="B43" s="18"/>
      <c r="C43" s="44" t="str">
        <f>CONCATENATE(Slovnik!$G$9,"  ",'Vstupy V'!$F$2)</f>
        <v>uskutečněných v roce  2021</v>
      </c>
      <c r="D43" s="130" t="str">
        <f aca="true" t="shared" si="9" ref="D43:D65">$D$6</f>
        <v>tis. Kč</v>
      </c>
      <c r="E43" s="343"/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9">
        <f>IF(Q44&gt;1,1,0)</f>
        <v>0</v>
      </c>
    </row>
    <row r="44" spans="1:17" ht="14.25">
      <c r="A44" s="18"/>
      <c r="B44" s="18"/>
      <c r="C44" s="327" t="str">
        <f>IF(CZ_EN=1,VLOOKUP(" jako % vstupní ceny",Slovnik,1,0),VLOOKUP(" jako % vstupní ceny",Slovnik,2,0))</f>
        <v> jako % vstupní ceny</v>
      </c>
      <c r="D44" s="349" t="s">
        <v>67</v>
      </c>
      <c r="E44" s="345"/>
      <c r="F44" s="346">
        <f>IF($F$40=0,0,F43/$F$40)</f>
        <v>0</v>
      </c>
      <c r="G44" s="331">
        <f>IF($F$40=0,0,G43/$F$40)</f>
        <v>0</v>
      </c>
      <c r="H44" s="331">
        <f aca="true" t="shared" si="10" ref="H44:P44">IF($F$40=0,0,H43/$F$40)</f>
        <v>0</v>
      </c>
      <c r="I44" s="331">
        <f t="shared" si="10"/>
        <v>0</v>
      </c>
      <c r="J44" s="331">
        <f t="shared" si="10"/>
        <v>0</v>
      </c>
      <c r="K44" s="331">
        <f t="shared" si="10"/>
        <v>0</v>
      </c>
      <c r="L44" s="331">
        <f t="shared" si="10"/>
        <v>0</v>
      </c>
      <c r="M44" s="331">
        <f t="shared" si="10"/>
        <v>0</v>
      </c>
      <c r="N44" s="331">
        <f t="shared" si="10"/>
        <v>0</v>
      </c>
      <c r="O44" s="331">
        <f t="shared" si="10"/>
        <v>0</v>
      </c>
      <c r="P44" s="331">
        <f t="shared" si="10"/>
        <v>0</v>
      </c>
      <c r="Q44" s="230">
        <f>SUM(F44:P44)</f>
        <v>0</v>
      </c>
    </row>
    <row r="45" spans="1:17" ht="14.25">
      <c r="A45" s="143" t="s">
        <v>308</v>
      </c>
      <c r="B45" s="18"/>
      <c r="C45" s="44" t="str">
        <f>CONCATENATE(Slovnik!$G$9,"  ",'Vstupy S'!$G$2)</f>
        <v>uskutečněných v roce  2022</v>
      </c>
      <c r="D45" s="52" t="str">
        <f t="shared" si="9"/>
        <v>tis. Kč</v>
      </c>
      <c r="E45" s="53"/>
      <c r="F45" s="53"/>
      <c r="G45" s="176">
        <f>'[2]Nabidka dodavatele'!G49</f>
        <v>0</v>
      </c>
      <c r="H45" s="176">
        <f>'[2]Nabidka dodavatele'!H49</f>
        <v>0</v>
      </c>
      <c r="I45" s="176">
        <f>'[2]Nabidka dodavatele'!I49</f>
        <v>0</v>
      </c>
      <c r="J45" s="176">
        <f>'[2]Nabidka dodavatele'!J49</f>
        <v>0</v>
      </c>
      <c r="K45" s="176">
        <f>'[2]Nabidka dodavatele'!K49</f>
        <v>0</v>
      </c>
      <c r="L45" s="176">
        <f>'[2]Nabidka dodavatele'!L49</f>
        <v>0</v>
      </c>
      <c r="M45" s="176">
        <f>'[2]Nabidka dodavatele'!M49</f>
        <v>0</v>
      </c>
      <c r="N45" s="176">
        <f>'[2]Nabidka dodavatele'!N49</f>
        <v>0</v>
      </c>
      <c r="O45" s="176">
        <f>'[2]Nabidka dodavatele'!O49</f>
        <v>0</v>
      </c>
      <c r="P45" s="176">
        <f>'[2]Nabidka dodavatele'!P49</f>
        <v>0</v>
      </c>
      <c r="Q45" s="9">
        <f>IF(Q46&gt;1,1,0)</f>
        <v>0</v>
      </c>
    </row>
    <row r="46" spans="1:17" ht="14.25">
      <c r="A46" s="18"/>
      <c r="B46" s="18"/>
      <c r="C46" s="327" t="str">
        <f>IF(CZ_EN=1,VLOOKUP(" jako % vstupní ceny",Slovnik,1,0),VLOOKUP(" jako % vstupní ceny",Slovnik,2,0))</f>
        <v> jako % vstupní ceny</v>
      </c>
      <c r="D46" s="340" t="s">
        <v>67</v>
      </c>
      <c r="E46" s="330"/>
      <c r="F46" s="330"/>
      <c r="G46" s="331">
        <f aca="true" t="shared" si="11" ref="G46:P46">IF($G$40=0,0,G45/$G$40)</f>
        <v>0</v>
      </c>
      <c r="H46" s="331">
        <f t="shared" si="11"/>
        <v>0</v>
      </c>
      <c r="I46" s="331">
        <f t="shared" si="11"/>
        <v>0</v>
      </c>
      <c r="J46" s="331">
        <f t="shared" si="11"/>
        <v>0</v>
      </c>
      <c r="K46" s="331">
        <f t="shared" si="11"/>
        <v>0</v>
      </c>
      <c r="L46" s="331">
        <f t="shared" si="11"/>
        <v>0</v>
      </c>
      <c r="M46" s="331">
        <f t="shared" si="11"/>
        <v>0</v>
      </c>
      <c r="N46" s="331">
        <f t="shared" si="11"/>
        <v>0</v>
      </c>
      <c r="O46" s="331">
        <f t="shared" si="11"/>
        <v>0</v>
      </c>
      <c r="P46" s="331">
        <f t="shared" si="11"/>
        <v>0</v>
      </c>
      <c r="Q46" s="230">
        <f>SUM(F46:P46)</f>
        <v>0</v>
      </c>
    </row>
    <row r="47" spans="1:17" ht="14.25">
      <c r="A47" s="143" t="s">
        <v>308</v>
      </c>
      <c r="B47" s="18"/>
      <c r="C47" s="44" t="str">
        <f>CONCATENATE(Slovnik!$G$9,"  ",'Vstupy S'!$H$2)</f>
        <v>uskutečněných v roce  2023</v>
      </c>
      <c r="D47" s="52" t="str">
        <f t="shared" si="9"/>
        <v>tis. Kč</v>
      </c>
      <c r="E47" s="53"/>
      <c r="F47" s="53"/>
      <c r="G47" s="30"/>
      <c r="H47" s="176">
        <f>'[2]Nabidka dodavatele'!H50</f>
        <v>0</v>
      </c>
      <c r="I47" s="176">
        <f>'[2]Nabidka dodavatele'!I50</f>
        <v>0</v>
      </c>
      <c r="J47" s="176">
        <f>'[2]Nabidka dodavatele'!J50</f>
        <v>0</v>
      </c>
      <c r="K47" s="176">
        <f>'[2]Nabidka dodavatele'!K50</f>
        <v>0</v>
      </c>
      <c r="L47" s="176">
        <f>'[2]Nabidka dodavatele'!L50</f>
        <v>0</v>
      </c>
      <c r="M47" s="176">
        <f>'[2]Nabidka dodavatele'!M50</f>
        <v>0</v>
      </c>
      <c r="N47" s="176">
        <f>'[2]Nabidka dodavatele'!N50</f>
        <v>0</v>
      </c>
      <c r="O47" s="176">
        <f>'[2]Nabidka dodavatele'!O50</f>
        <v>0</v>
      </c>
      <c r="P47" s="176">
        <f>'[2]Nabidka dodavatele'!P50</f>
        <v>0</v>
      </c>
      <c r="Q47" s="9">
        <f>IF(Q48&gt;1,1,0)</f>
        <v>0</v>
      </c>
    </row>
    <row r="48" spans="1:17" ht="14.25">
      <c r="A48" s="18"/>
      <c r="B48" s="18"/>
      <c r="C48" s="184" t="str">
        <f>$C$46</f>
        <v> jako % vstupní ceny</v>
      </c>
      <c r="D48" s="185" t="s">
        <v>67</v>
      </c>
      <c r="E48" s="53"/>
      <c r="F48" s="53"/>
      <c r="G48" s="30"/>
      <c r="H48" s="188">
        <f>IF($H$40=0,0,H47/$H$40)</f>
        <v>0</v>
      </c>
      <c r="I48" s="188">
        <f aca="true" t="shared" si="12" ref="I48:P48">IF($H$40=0,0,I47/$H$40)</f>
        <v>0</v>
      </c>
      <c r="J48" s="188">
        <f>IF($H$40=0,0,J47/$H$40)</f>
        <v>0</v>
      </c>
      <c r="K48" s="188">
        <f t="shared" si="12"/>
        <v>0</v>
      </c>
      <c r="L48" s="188">
        <f t="shared" si="12"/>
        <v>0</v>
      </c>
      <c r="M48" s="188">
        <f t="shared" si="12"/>
        <v>0</v>
      </c>
      <c r="N48" s="188">
        <f t="shared" si="12"/>
        <v>0</v>
      </c>
      <c r="O48" s="188">
        <f t="shared" si="12"/>
        <v>0</v>
      </c>
      <c r="P48" s="188">
        <f t="shared" si="12"/>
        <v>0</v>
      </c>
      <c r="Q48" s="230">
        <f>SUM(F48:P48)</f>
        <v>0</v>
      </c>
    </row>
    <row r="49" spans="1:17" ht="14.25">
      <c r="A49" s="143" t="s">
        <v>308</v>
      </c>
      <c r="B49" s="18"/>
      <c r="C49" s="333" t="str">
        <f>CONCATENATE(Slovnik!$G$9,"  ",'Vstupy S'!$I$2)</f>
        <v>uskutečněných v roce  2024</v>
      </c>
      <c r="D49" s="339" t="str">
        <f t="shared" si="9"/>
        <v>tis. Kč</v>
      </c>
      <c r="E49" s="336"/>
      <c r="F49" s="336"/>
      <c r="G49" s="337"/>
      <c r="H49" s="337"/>
      <c r="I49" s="338">
        <f>'[2]Nabidka dodavatele'!I51</f>
        <v>0</v>
      </c>
      <c r="J49" s="338">
        <f>'[2]Nabidka dodavatele'!J51</f>
        <v>0</v>
      </c>
      <c r="K49" s="338">
        <f>'[2]Nabidka dodavatele'!K51</f>
        <v>0</v>
      </c>
      <c r="L49" s="338">
        <f>'[2]Nabidka dodavatele'!L51</f>
        <v>0</v>
      </c>
      <c r="M49" s="338">
        <f>'[2]Nabidka dodavatele'!M51</f>
        <v>0</v>
      </c>
      <c r="N49" s="338">
        <f>'[2]Nabidka dodavatele'!N51</f>
        <v>0</v>
      </c>
      <c r="O49" s="338">
        <f>'[2]Nabidka dodavatele'!O51</f>
        <v>0</v>
      </c>
      <c r="P49" s="338">
        <f>'[2]Nabidka dodavatele'!P51</f>
        <v>0</v>
      </c>
      <c r="Q49" s="9">
        <f>IF(Q50&gt;1,1,0)</f>
        <v>0</v>
      </c>
    </row>
    <row r="50" spans="1:17" ht="14.25">
      <c r="A50" s="18"/>
      <c r="B50" s="18"/>
      <c r="C50" s="327" t="str">
        <f>$C$46</f>
        <v> jako % vstupní ceny</v>
      </c>
      <c r="D50" s="340" t="s">
        <v>67</v>
      </c>
      <c r="E50" s="330"/>
      <c r="F50" s="330"/>
      <c r="G50" s="332"/>
      <c r="H50" s="332"/>
      <c r="I50" s="331">
        <f>IF($I$40=0,0,I49/$I$40)</f>
        <v>0</v>
      </c>
      <c r="J50" s="331">
        <f aca="true" t="shared" si="13" ref="J50:P50">IF($I$40=0,0,J49/$I$40)</f>
        <v>0</v>
      </c>
      <c r="K50" s="331">
        <f t="shared" si="13"/>
        <v>0</v>
      </c>
      <c r="L50" s="331">
        <f t="shared" si="13"/>
        <v>0</v>
      </c>
      <c r="M50" s="331">
        <f t="shared" si="13"/>
        <v>0</v>
      </c>
      <c r="N50" s="331">
        <f t="shared" si="13"/>
        <v>0</v>
      </c>
      <c r="O50" s="331">
        <f t="shared" si="13"/>
        <v>0</v>
      </c>
      <c r="P50" s="331">
        <f t="shared" si="13"/>
        <v>0</v>
      </c>
      <c r="Q50" s="230">
        <f>SUM(F50:P50)</f>
        <v>0</v>
      </c>
    </row>
    <row r="51" spans="1:17" ht="14.25">
      <c r="A51" s="143" t="s">
        <v>308</v>
      </c>
      <c r="B51" s="18"/>
      <c r="C51" s="44" t="str">
        <f>CONCATENATE(Slovnik!$G$9,"  ",'Vstupy S'!$J$2)</f>
        <v>uskutečněných v roce  2025</v>
      </c>
      <c r="D51" s="52" t="str">
        <f t="shared" si="9"/>
        <v>tis. Kč</v>
      </c>
      <c r="E51" s="53"/>
      <c r="F51" s="53"/>
      <c r="G51" s="30"/>
      <c r="H51" s="30"/>
      <c r="I51" s="30"/>
      <c r="J51" s="176">
        <f>'[2]Nabidka dodavatele'!J52</f>
        <v>0</v>
      </c>
      <c r="K51" s="176">
        <f>'[2]Nabidka dodavatele'!K52</f>
        <v>0</v>
      </c>
      <c r="L51" s="176">
        <f>'[2]Nabidka dodavatele'!L52</f>
        <v>0</v>
      </c>
      <c r="M51" s="176">
        <f>'[2]Nabidka dodavatele'!M52</f>
        <v>0</v>
      </c>
      <c r="N51" s="176">
        <f>'[2]Nabidka dodavatele'!N52</f>
        <v>0</v>
      </c>
      <c r="O51" s="176">
        <f>'[2]Nabidka dodavatele'!O52</f>
        <v>0</v>
      </c>
      <c r="P51" s="176">
        <f>'[2]Nabidka dodavatele'!P52</f>
        <v>0</v>
      </c>
      <c r="Q51" s="9">
        <f>IF(Q52&gt;1,1,0)</f>
        <v>0</v>
      </c>
    </row>
    <row r="52" spans="1:17" ht="14.25">
      <c r="A52" s="18"/>
      <c r="B52" s="18"/>
      <c r="C52" s="184" t="str">
        <f>$C$46</f>
        <v> jako % vstupní ceny</v>
      </c>
      <c r="D52" s="185" t="s">
        <v>67</v>
      </c>
      <c r="E52" s="53"/>
      <c r="F52" s="53"/>
      <c r="G52" s="30"/>
      <c r="H52" s="30"/>
      <c r="I52" s="30"/>
      <c r="J52" s="188">
        <f>IF($J$40=0,0,J51/$J$40)</f>
        <v>0</v>
      </c>
      <c r="K52" s="188">
        <f aca="true" t="shared" si="14" ref="K52:P52">IF($J$40=0,0,K51/$J$40)</f>
        <v>0</v>
      </c>
      <c r="L52" s="188">
        <f t="shared" si="14"/>
        <v>0</v>
      </c>
      <c r="M52" s="188">
        <f t="shared" si="14"/>
        <v>0</v>
      </c>
      <c r="N52" s="188">
        <f t="shared" si="14"/>
        <v>0</v>
      </c>
      <c r="O52" s="188">
        <f t="shared" si="14"/>
        <v>0</v>
      </c>
      <c r="P52" s="188">
        <f t="shared" si="14"/>
        <v>0</v>
      </c>
      <c r="Q52" s="230">
        <f>SUM(F52:P52)</f>
        <v>0</v>
      </c>
    </row>
    <row r="53" spans="1:17" ht="14.25">
      <c r="A53" s="143" t="s">
        <v>308</v>
      </c>
      <c r="B53" s="18"/>
      <c r="C53" s="333" t="str">
        <f>CONCATENATE(Slovnik!$G$9,"  ",'Vstupy S'!$K$2)</f>
        <v>uskutečněných v roce  2026</v>
      </c>
      <c r="D53" s="339" t="str">
        <f t="shared" si="9"/>
        <v>tis. Kč</v>
      </c>
      <c r="E53" s="336"/>
      <c r="F53" s="336"/>
      <c r="G53" s="337"/>
      <c r="H53" s="337"/>
      <c r="I53" s="337"/>
      <c r="J53" s="337"/>
      <c r="K53" s="338">
        <f>'[2]Nabidka dodavatele'!K53</f>
        <v>0</v>
      </c>
      <c r="L53" s="338">
        <f>'[2]Nabidka dodavatele'!L53</f>
        <v>0</v>
      </c>
      <c r="M53" s="338">
        <f>'[2]Nabidka dodavatele'!M53</f>
        <v>0</v>
      </c>
      <c r="N53" s="338">
        <f>'[2]Nabidka dodavatele'!N53</f>
        <v>0</v>
      </c>
      <c r="O53" s="338">
        <f>'[2]Nabidka dodavatele'!O53</f>
        <v>0</v>
      </c>
      <c r="P53" s="338">
        <f>'[2]Nabidka dodavatele'!P53</f>
        <v>0</v>
      </c>
      <c r="Q53" s="9">
        <f>IF(Q54&gt;1,1,0)</f>
        <v>0</v>
      </c>
    </row>
    <row r="54" spans="1:17" ht="14.25">
      <c r="A54" s="18"/>
      <c r="B54" s="18"/>
      <c r="C54" s="327" t="str">
        <f>$C$46</f>
        <v> jako % vstupní ceny</v>
      </c>
      <c r="D54" s="340" t="s">
        <v>67</v>
      </c>
      <c r="E54" s="330"/>
      <c r="F54" s="330"/>
      <c r="G54" s="332"/>
      <c r="H54" s="332"/>
      <c r="I54" s="332"/>
      <c r="J54" s="332"/>
      <c r="K54" s="331">
        <f aca="true" t="shared" si="15" ref="K54:P54">IF($K$40=0,0,K53/$K$40)</f>
        <v>0</v>
      </c>
      <c r="L54" s="331">
        <f t="shared" si="15"/>
        <v>0</v>
      </c>
      <c r="M54" s="331">
        <f t="shared" si="15"/>
        <v>0</v>
      </c>
      <c r="N54" s="331">
        <f t="shared" si="15"/>
        <v>0</v>
      </c>
      <c r="O54" s="331">
        <f t="shared" si="15"/>
        <v>0</v>
      </c>
      <c r="P54" s="331">
        <f t="shared" si="15"/>
        <v>0</v>
      </c>
      <c r="Q54" s="230">
        <f>SUM(F54:P54)</f>
        <v>0</v>
      </c>
    </row>
    <row r="55" spans="1:17" ht="14.25">
      <c r="A55" s="143" t="s">
        <v>308</v>
      </c>
      <c r="B55" s="18"/>
      <c r="C55" s="44" t="str">
        <f>CONCATENATE(Slovnik!$G$9,"  ",'Vstupy S'!$L$2)</f>
        <v>uskutečněných v roce  2027</v>
      </c>
      <c r="D55" s="52" t="str">
        <f t="shared" si="9"/>
        <v>tis. Kč</v>
      </c>
      <c r="E55" s="53"/>
      <c r="F55" s="53"/>
      <c r="G55" s="30"/>
      <c r="H55" s="30"/>
      <c r="I55" s="30"/>
      <c r="J55" s="30"/>
      <c r="K55" s="30"/>
      <c r="L55" s="176">
        <f>'[2]Nabidka dodavatele'!L54</f>
        <v>0</v>
      </c>
      <c r="M55" s="176">
        <f>'[2]Nabidka dodavatele'!M54</f>
        <v>0</v>
      </c>
      <c r="N55" s="176">
        <f>'[2]Nabidka dodavatele'!N54</f>
        <v>0</v>
      </c>
      <c r="O55" s="176">
        <f>'[2]Nabidka dodavatele'!O54</f>
        <v>0</v>
      </c>
      <c r="P55" s="176">
        <f>'[2]Nabidka dodavatele'!P54</f>
        <v>0</v>
      </c>
      <c r="Q55" s="9">
        <f>IF(Q56&gt;1,1,0)</f>
        <v>0</v>
      </c>
    </row>
    <row r="56" spans="1:17" ht="14.25">
      <c r="A56" s="18"/>
      <c r="B56" s="18"/>
      <c r="C56" s="184" t="str">
        <f>$C$46</f>
        <v> jako % vstupní ceny</v>
      </c>
      <c r="D56" s="185" t="s">
        <v>67</v>
      </c>
      <c r="E56" s="53"/>
      <c r="F56" s="53"/>
      <c r="G56" s="30"/>
      <c r="H56" s="30"/>
      <c r="I56" s="30"/>
      <c r="J56" s="30"/>
      <c r="K56" s="30"/>
      <c r="L56" s="188">
        <f>IF($L$40=0,0,L55/$L$40)</f>
        <v>0</v>
      </c>
      <c r="M56" s="188">
        <f>IF($L$40=0,0,M55/$L$40)</f>
        <v>0</v>
      </c>
      <c r="N56" s="188">
        <f>IF($L$40=0,0,N55/$L$40)</f>
        <v>0</v>
      </c>
      <c r="O56" s="188">
        <f>IF($L$40=0,0,O55/$L$40)</f>
        <v>0</v>
      </c>
      <c r="P56" s="188">
        <f>IF($L$40=0,0,P55/$L$40)</f>
        <v>0</v>
      </c>
      <c r="Q56" s="230">
        <f>SUM(F56:P56)</f>
        <v>0</v>
      </c>
    </row>
    <row r="57" spans="1:17" ht="14.25">
      <c r="A57" s="143" t="s">
        <v>308</v>
      </c>
      <c r="B57" s="18"/>
      <c r="C57" s="333" t="str">
        <f>CONCATENATE(Slovnik!$G$9,"  ",'Vstupy S'!$M$2)</f>
        <v>uskutečněných v roce  2028</v>
      </c>
      <c r="D57" s="339" t="str">
        <f t="shared" si="9"/>
        <v>tis. Kč</v>
      </c>
      <c r="E57" s="336"/>
      <c r="F57" s="336"/>
      <c r="G57" s="337"/>
      <c r="H57" s="337"/>
      <c r="I57" s="337"/>
      <c r="J57" s="337"/>
      <c r="K57" s="337"/>
      <c r="L57" s="337"/>
      <c r="M57" s="338">
        <f>'[2]Nabidka dodavatele'!M55</f>
        <v>0</v>
      </c>
      <c r="N57" s="338">
        <f>'[2]Nabidka dodavatele'!N55</f>
        <v>0</v>
      </c>
      <c r="O57" s="338">
        <f>'[2]Nabidka dodavatele'!O55</f>
        <v>0</v>
      </c>
      <c r="P57" s="338">
        <f>'[2]Nabidka dodavatele'!P55</f>
        <v>0</v>
      </c>
      <c r="Q57" s="9">
        <f>IF(Q58&gt;1,1,0)</f>
        <v>0</v>
      </c>
    </row>
    <row r="58" spans="1:17" ht="14.25">
      <c r="A58" s="18"/>
      <c r="B58" s="18"/>
      <c r="C58" s="327" t="str">
        <f>$C$46</f>
        <v> jako % vstupní ceny</v>
      </c>
      <c r="D58" s="340" t="s">
        <v>67</v>
      </c>
      <c r="E58" s="330"/>
      <c r="F58" s="330"/>
      <c r="G58" s="332"/>
      <c r="H58" s="332"/>
      <c r="I58" s="332"/>
      <c r="J58" s="332"/>
      <c r="K58" s="332"/>
      <c r="L58" s="332"/>
      <c r="M58" s="331">
        <f>IF($M$40=0,0,M57/$M$40)</f>
        <v>0</v>
      </c>
      <c r="N58" s="331">
        <f>IF($M$40=0,0,N57/$M$40)</f>
        <v>0</v>
      </c>
      <c r="O58" s="331">
        <f>IF($M$40=0,0,O57/$M$40)</f>
        <v>0</v>
      </c>
      <c r="P58" s="331">
        <f>IF($M$40=0,0,P57/$M$40)</f>
        <v>0</v>
      </c>
      <c r="Q58" s="230">
        <f>SUM(F58:P58)</f>
        <v>0</v>
      </c>
    </row>
    <row r="59" spans="1:17" ht="14.25">
      <c r="A59" s="143" t="s">
        <v>308</v>
      </c>
      <c r="B59" s="18"/>
      <c r="C59" s="44" t="str">
        <f>CONCATENATE(Slovnik!$G$9,"  ",'Vstupy S'!$N$2)</f>
        <v>uskutečněných v roce  2029</v>
      </c>
      <c r="D59" s="52" t="str">
        <f t="shared" si="9"/>
        <v>tis. Kč</v>
      </c>
      <c r="E59" s="53"/>
      <c r="F59" s="53"/>
      <c r="G59" s="30"/>
      <c r="H59" s="30"/>
      <c r="I59" s="30"/>
      <c r="J59" s="30"/>
      <c r="K59" s="30"/>
      <c r="L59" s="30"/>
      <c r="M59" s="30"/>
      <c r="N59" s="176">
        <f>'[2]Nabidka dodavatele'!N56</f>
        <v>0</v>
      </c>
      <c r="O59" s="176">
        <f>'[2]Nabidka dodavatele'!O56</f>
        <v>0</v>
      </c>
      <c r="P59" s="176">
        <f>'[2]Nabidka dodavatele'!P56</f>
        <v>0</v>
      </c>
      <c r="Q59" s="9">
        <f>IF(Q60&gt;1,1,0)</f>
        <v>0</v>
      </c>
    </row>
    <row r="60" spans="1:17" ht="14.25">
      <c r="A60" s="18"/>
      <c r="B60" s="18"/>
      <c r="C60" s="184" t="str">
        <f>$C$46</f>
        <v> jako % vstupní ceny</v>
      </c>
      <c r="D60" s="185" t="s">
        <v>67</v>
      </c>
      <c r="E60" s="53"/>
      <c r="F60" s="53"/>
      <c r="G60" s="30"/>
      <c r="H60" s="30"/>
      <c r="I60" s="30"/>
      <c r="J60" s="30"/>
      <c r="K60" s="30"/>
      <c r="L60" s="30"/>
      <c r="M60" s="30"/>
      <c r="N60" s="188">
        <f>IF($N$40=0,0,N59/$N$40)</f>
        <v>0</v>
      </c>
      <c r="O60" s="188">
        <f>IF($N$40=0,0,O59/$N$40)</f>
        <v>0</v>
      </c>
      <c r="P60" s="188">
        <f>IF($N$40=0,0,P59/$N$40)</f>
        <v>0</v>
      </c>
      <c r="Q60" s="230">
        <f>SUM(F60:P60)</f>
        <v>0</v>
      </c>
    </row>
    <row r="61" spans="1:17" ht="14.25">
      <c r="A61" s="143" t="s">
        <v>308</v>
      </c>
      <c r="B61" s="18"/>
      <c r="C61" s="333" t="str">
        <f>CONCATENATE(Slovnik!$G$9,"  ",'Vstupy S'!$O$2)</f>
        <v>uskutečněných v roce  2030</v>
      </c>
      <c r="D61" s="339" t="str">
        <f t="shared" si="9"/>
        <v>tis. Kč</v>
      </c>
      <c r="E61" s="336"/>
      <c r="F61" s="336"/>
      <c r="G61" s="337"/>
      <c r="H61" s="337"/>
      <c r="I61" s="337"/>
      <c r="J61" s="337"/>
      <c r="K61" s="337"/>
      <c r="L61" s="337"/>
      <c r="M61" s="337"/>
      <c r="N61" s="337"/>
      <c r="O61" s="338">
        <f>'[2]Nabidka dodavatele'!O57</f>
        <v>0</v>
      </c>
      <c r="P61" s="338">
        <f>'[2]Nabidka dodavatele'!P57</f>
        <v>0</v>
      </c>
      <c r="Q61" s="9">
        <f>IF(Q62&gt;1,1,0)</f>
        <v>0</v>
      </c>
    </row>
    <row r="62" spans="1:17" ht="14.25">
      <c r="A62" s="18"/>
      <c r="B62" s="18"/>
      <c r="C62" s="327" t="str">
        <f>$C$46</f>
        <v> jako % vstupní ceny</v>
      </c>
      <c r="D62" s="340" t="s">
        <v>67</v>
      </c>
      <c r="E62" s="330"/>
      <c r="F62" s="330"/>
      <c r="G62" s="332"/>
      <c r="H62" s="332"/>
      <c r="I62" s="332"/>
      <c r="J62" s="332"/>
      <c r="K62" s="332"/>
      <c r="L62" s="332"/>
      <c r="M62" s="332"/>
      <c r="N62" s="332"/>
      <c r="O62" s="331">
        <f>IF($O$40=0,0,O61/$O$40)</f>
        <v>0</v>
      </c>
      <c r="P62" s="331">
        <f>IF($O$40=0,0,P61/$O$40)</f>
        <v>0</v>
      </c>
      <c r="Q62" s="230">
        <f>SUM(F62:P62)</f>
        <v>0</v>
      </c>
    </row>
    <row r="63" spans="1:17" ht="14.25">
      <c r="A63" s="143" t="s">
        <v>308</v>
      </c>
      <c r="B63" s="18"/>
      <c r="C63" s="44" t="str">
        <f>CONCATENATE(Slovnik!$G$9,"  ",'Vstupy S'!$P$2)</f>
        <v>uskutečněných v roce  2031</v>
      </c>
      <c r="D63" s="52" t="str">
        <f t="shared" si="9"/>
        <v>tis. Kč</v>
      </c>
      <c r="E63" s="53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176">
        <f>'[2]Nabidka dodavatele'!P58</f>
        <v>0</v>
      </c>
      <c r="Q63" s="9">
        <f>IF(Q64&gt;1,1,0)</f>
        <v>0</v>
      </c>
    </row>
    <row r="64" spans="1:17" ht="14.25">
      <c r="A64" s="18"/>
      <c r="B64" s="18"/>
      <c r="C64" s="186" t="str">
        <f>$C$46</f>
        <v> jako % vstupní ceny</v>
      </c>
      <c r="D64" s="187" t="s">
        <v>67</v>
      </c>
      <c r="E64" s="54"/>
      <c r="F64" s="54"/>
      <c r="G64" s="50"/>
      <c r="H64" s="50"/>
      <c r="I64" s="50"/>
      <c r="J64" s="50"/>
      <c r="K64" s="50"/>
      <c r="L64" s="50"/>
      <c r="M64" s="50"/>
      <c r="N64" s="50"/>
      <c r="O64" s="50"/>
      <c r="P64" s="188">
        <f>IF($P$40=0,0,P63/$P$40)</f>
        <v>0</v>
      </c>
      <c r="Q64" s="230">
        <f>SUM(F64:P64)</f>
        <v>0</v>
      </c>
    </row>
    <row r="65" spans="1:16" ht="14.25">
      <c r="A65" s="18"/>
      <c r="B65" s="18"/>
      <c r="C65" s="45" t="str">
        <f>IF(CZ_EN=1,VLOOKUP("Odpisy celkem",Slovnik,1,0),VLOOKUP("Odpisy celkem",Slovnik,2,0))</f>
        <v>Odpisy celkem</v>
      </c>
      <c r="D65" s="49" t="str">
        <f t="shared" si="9"/>
        <v>tis. Kč</v>
      </c>
      <c r="E65" s="54"/>
      <c r="F65" s="50">
        <f>SUM(F43,F45,F47,F49,F51,F53,F55,F57,F59,F61,F63)</f>
        <v>0</v>
      </c>
      <c r="G65" s="50">
        <f aca="true" t="shared" si="16" ref="G65:P65">SUM(G43,G45,G47,G49,G51,G53,G55,G57,G59,G61,G63)</f>
        <v>0</v>
      </c>
      <c r="H65" s="50">
        <f t="shared" si="16"/>
        <v>0</v>
      </c>
      <c r="I65" s="50">
        <f t="shared" si="16"/>
        <v>0</v>
      </c>
      <c r="J65" s="50">
        <f t="shared" si="16"/>
        <v>0</v>
      </c>
      <c r="K65" s="50">
        <f t="shared" si="16"/>
        <v>0</v>
      </c>
      <c r="L65" s="50">
        <f t="shared" si="16"/>
        <v>0</v>
      </c>
      <c r="M65" s="50">
        <f t="shared" si="16"/>
        <v>0</v>
      </c>
      <c r="N65" s="50">
        <f t="shared" si="16"/>
        <v>0</v>
      </c>
      <c r="O65" s="50">
        <f t="shared" si="16"/>
        <v>0</v>
      </c>
      <c r="P65" s="173">
        <f t="shared" si="16"/>
        <v>0</v>
      </c>
    </row>
    <row r="66" spans="1:16" ht="14.25">
      <c r="A66" s="18"/>
      <c r="B66" s="18"/>
      <c r="C66" s="18"/>
      <c r="D66" s="2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4.25">
      <c r="A67" s="143" t="s">
        <v>308</v>
      </c>
      <c r="B67" s="18"/>
      <c r="C67" s="15" t="str">
        <f>IF(CZ_EN=1,VLOOKUP("Odprodej majetku",Slovnik,1,0),VLOOKUP("Odprodej majetku",Slovnik,2,0))</f>
        <v>Odprodej majetku</v>
      </c>
      <c r="D67" s="40" t="str">
        <f>$D$6</f>
        <v>tis. Kč</v>
      </c>
      <c r="E67" s="354"/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</row>
    <row r="68" spans="1:17" ht="12.75">
      <c r="A68" s="18"/>
      <c r="B68" s="18"/>
      <c r="C68" s="18"/>
      <c r="E68" s="227" t="s">
        <v>404</v>
      </c>
      <c r="F68" s="228">
        <f>'Vypocty S'!F13-'Vypocty S'!F14+'Vypocty S'!F16-'Vypocty S'!F17</f>
        <v>0</v>
      </c>
      <c r="G68" s="228">
        <f>'Vypocty S'!G13-'Vypocty S'!G14+'Vypocty S'!G16-'Vypocty S'!G17</f>
        <v>0</v>
      </c>
      <c r="H68" s="228">
        <f>'Vypocty S'!H13-'Vypocty S'!H14+'Vypocty S'!H16-'Vypocty S'!H17</f>
        <v>0</v>
      </c>
      <c r="I68" s="228">
        <f>'Vypocty S'!I13-'Vypocty S'!I14+'Vypocty S'!I16-'Vypocty S'!I17</f>
        <v>0</v>
      </c>
      <c r="J68" s="228">
        <f>'Vypocty S'!J13-'Vypocty S'!J14+'Vypocty S'!J16-'Vypocty S'!J17</f>
        <v>0</v>
      </c>
      <c r="K68" s="228">
        <f>'Vypocty S'!K13-'Vypocty S'!K14+'Vypocty S'!K16-'Vypocty S'!K17</f>
        <v>0</v>
      </c>
      <c r="L68" s="228">
        <f>'Vypocty S'!L13-'Vypocty S'!L14+'Vypocty S'!L16-'Vypocty S'!L17</f>
        <v>0</v>
      </c>
      <c r="M68" s="228">
        <f>'Vypocty S'!M13-'Vypocty S'!M14+'Vypocty S'!M16-'Vypocty S'!M17</f>
        <v>0</v>
      </c>
      <c r="N68" s="228">
        <f>'Vypocty S'!N13-'Vypocty S'!N14+'Vypocty S'!N16-'Vypocty S'!N17</f>
        <v>0</v>
      </c>
      <c r="O68" s="228">
        <f>'Vypocty S'!O13-'Vypocty S'!O14+'Vypocty S'!O16-'Vypocty S'!O17</f>
        <v>0</v>
      </c>
      <c r="P68" s="228">
        <f>'Vypocty S'!P13-'Vypocty S'!P14+'Vypocty S'!P16-'Vypocty S'!P17</f>
        <v>0</v>
      </c>
      <c r="Q68" s="228"/>
    </row>
    <row r="69" spans="1:17" ht="14.25">
      <c r="A69" s="18"/>
      <c r="B69" s="18"/>
      <c r="C69" s="37" t="str">
        <f>IF(CZ_EN=1,VLOOKUP("Zbývající prvky ReHoK",Slovnik,1,0),VLOOKUP("Zbývající prvky ReHoK",Slovnik,2,0))</f>
        <v>Zbývající prvky ReHoK</v>
      </c>
      <c r="D69" s="25"/>
      <c r="E69" s="227">
        <f>SUM(F69:P69)</f>
        <v>0</v>
      </c>
      <c r="F69" s="229">
        <f>IF(F67&gt;F68,1,0)</f>
        <v>0</v>
      </c>
      <c r="G69" s="229">
        <f aca="true" t="shared" si="17" ref="G69:P69">IF(G67&gt;G68,1,0)</f>
        <v>0</v>
      </c>
      <c r="H69" s="229">
        <f t="shared" si="17"/>
        <v>0</v>
      </c>
      <c r="I69" s="229">
        <f t="shared" si="17"/>
        <v>0</v>
      </c>
      <c r="J69" s="229">
        <f t="shared" si="17"/>
        <v>0</v>
      </c>
      <c r="K69" s="229">
        <f t="shared" si="17"/>
        <v>0</v>
      </c>
      <c r="L69" s="229">
        <f t="shared" si="17"/>
        <v>0</v>
      </c>
      <c r="M69" s="229">
        <f t="shared" si="17"/>
        <v>0</v>
      </c>
      <c r="N69" s="229">
        <f t="shared" si="17"/>
        <v>0</v>
      </c>
      <c r="O69" s="229">
        <f t="shared" si="17"/>
        <v>0</v>
      </c>
      <c r="P69" s="229">
        <f t="shared" si="17"/>
        <v>0</v>
      </c>
      <c r="Q69" s="229"/>
    </row>
    <row r="70" spans="1:16" ht="14.25">
      <c r="A70" s="143" t="s">
        <v>308</v>
      </c>
      <c r="B70" s="18"/>
      <c r="C70" s="15" t="str">
        <f>IF(CZ_EN=1,VLOOKUP("Přidělení provozního majetku na danou službu",Slovnik,1,0),VLOOKUP("Přidělení provozního majetku na danou službu",Slovnik,2,0))</f>
        <v>Přidělení provozního majetku na danou službu</v>
      </c>
      <c r="D70" s="40" t="s">
        <v>67</v>
      </c>
      <c r="E70" s="350">
        <v>0</v>
      </c>
      <c r="F70" s="351">
        <v>0</v>
      </c>
      <c r="G70" s="351">
        <v>0</v>
      </c>
      <c r="H70" s="351">
        <v>0</v>
      </c>
      <c r="I70" s="351">
        <v>0</v>
      </c>
      <c r="J70" s="351">
        <v>0</v>
      </c>
      <c r="K70" s="351">
        <v>0</v>
      </c>
      <c r="L70" s="351">
        <v>0</v>
      </c>
      <c r="M70" s="351">
        <v>0</v>
      </c>
      <c r="N70" s="351">
        <v>0</v>
      </c>
      <c r="O70" s="351">
        <v>0</v>
      </c>
      <c r="P70" s="351">
        <v>0</v>
      </c>
    </row>
    <row r="71" spans="1:16" ht="14.25">
      <c r="A71" s="18"/>
      <c r="B71" s="18"/>
      <c r="C71" s="18"/>
      <c r="D71" s="2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4.25">
      <c r="A72" s="143" t="s">
        <v>308</v>
      </c>
      <c r="B72" s="18"/>
      <c r="C72" s="15" t="str">
        <f>IF(CZ_EN=1,VLOOKUP("Zásoby",Slovnik,1,0),VLOOKUP("Zásoby",Slovnik,2,0))</f>
        <v>Zásoby</v>
      </c>
      <c r="D72" s="40" t="str">
        <f>$D$6</f>
        <v>tis. Kč</v>
      </c>
      <c r="E72" s="210">
        <v>0</v>
      </c>
      <c r="F72" s="182">
        <v>0</v>
      </c>
      <c r="G72" s="182">
        <f>'[2]Nabidka dodavatele'!G65</f>
        <v>0</v>
      </c>
      <c r="H72" s="182">
        <f>'[2]Nabidka dodavatele'!H65</f>
        <v>0</v>
      </c>
      <c r="I72" s="182">
        <f>'[2]Nabidka dodavatele'!I65</f>
        <v>0</v>
      </c>
      <c r="J72" s="182">
        <f>'[2]Nabidka dodavatele'!J65</f>
        <v>0</v>
      </c>
      <c r="K72" s="182">
        <f>'[2]Nabidka dodavatele'!K65</f>
        <v>0</v>
      </c>
      <c r="L72" s="182">
        <f>'[2]Nabidka dodavatele'!L65</f>
        <v>0</v>
      </c>
      <c r="M72" s="182">
        <f>'[2]Nabidka dodavatele'!M65</f>
        <v>0</v>
      </c>
      <c r="N72" s="182">
        <f>'[2]Nabidka dodavatele'!N65</f>
        <v>0</v>
      </c>
      <c r="O72" s="182">
        <f>'[2]Nabidka dodavatele'!O65</f>
        <v>0</v>
      </c>
      <c r="P72" s="182">
        <f>'[2]Nabidka dodavatele'!P65</f>
        <v>0</v>
      </c>
    </row>
    <row r="73" spans="1:16" ht="14.25">
      <c r="A73" s="18"/>
      <c r="B73" s="18"/>
      <c r="C73" s="18"/>
      <c r="D73" s="2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4.25">
      <c r="A74" s="143" t="s">
        <v>308</v>
      </c>
      <c r="B74" s="18"/>
      <c r="C74" s="15" t="str">
        <f>IF(CZ_EN=1,VLOOKUP("Zbývající předplacené nájemné",Slovnik,1,0),VLOOKUP("Zbývající předplacené nájemné",Slovnik,2,0))</f>
        <v>Zbývající předplacené nájemné</v>
      </c>
      <c r="D74" s="40" t="str">
        <f>$D$6</f>
        <v>tis. Kč</v>
      </c>
      <c r="E74" s="210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  <c r="P74" s="182">
        <v>0</v>
      </c>
    </row>
    <row r="75" spans="1:16" ht="14.25">
      <c r="A75" s="18"/>
      <c r="B75" s="18"/>
      <c r="C75" s="18"/>
      <c r="D75" s="2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5" ht="14.25">
      <c r="A76" s="143" t="s">
        <v>308</v>
      </c>
      <c r="B76" s="18"/>
      <c r="C76" s="15" t="str">
        <f>IF(CZ_EN=1,VLOOKUP("Zbývající Očekávání",Slovnik,1,0),VLOOKUP("Zbývající Očekávání",Slovnik,2,0))</f>
        <v>Zbývající Očekávání</v>
      </c>
      <c r="D76" s="40" t="str">
        <f>$D$6</f>
        <v>tis. Kč</v>
      </c>
      <c r="E76" s="137"/>
    </row>
    <row r="77" spans="1:5" ht="14.25">
      <c r="A77" s="18"/>
      <c r="B77" s="18"/>
      <c r="D77" s="1"/>
      <c r="E77" s="1"/>
    </row>
    <row r="78" spans="1:16" ht="14.25">
      <c r="A78" s="18"/>
      <c r="B78" s="18"/>
      <c r="C78" s="38" t="str">
        <f>IF(CZ_EN=1,VLOOKUP("Provozní náklady",Slovnik,1,0),VLOOKUP("Provozní náklady",Slovnik,2,0))</f>
        <v>Provozní náklady</v>
      </c>
      <c r="D78" s="25"/>
      <c r="E78" s="31">
        <f>E2</f>
        <v>2020</v>
      </c>
      <c r="F78" s="31">
        <f aca="true" t="shared" si="18" ref="F78:P78">F2</f>
        <v>2021</v>
      </c>
      <c r="G78" s="31">
        <f t="shared" si="18"/>
        <v>2022</v>
      </c>
      <c r="H78" s="31">
        <f t="shared" si="18"/>
        <v>2023</v>
      </c>
      <c r="I78" s="31">
        <f t="shared" si="18"/>
        <v>2024</v>
      </c>
      <c r="J78" s="31">
        <f t="shared" si="18"/>
        <v>2025</v>
      </c>
      <c r="K78" s="31">
        <f t="shared" si="18"/>
        <v>2026</v>
      </c>
      <c r="L78" s="31">
        <f t="shared" si="18"/>
        <v>2027</v>
      </c>
      <c r="M78" s="31">
        <f t="shared" si="18"/>
        <v>2028</v>
      </c>
      <c r="N78" s="31">
        <f t="shared" si="18"/>
        <v>2029</v>
      </c>
      <c r="O78" s="31">
        <f t="shared" si="18"/>
        <v>2030</v>
      </c>
      <c r="P78" s="31">
        <f t="shared" si="18"/>
        <v>2031</v>
      </c>
    </row>
    <row r="79" spans="1:16" ht="14.25">
      <c r="A79" s="18"/>
      <c r="B79" s="18"/>
      <c r="C79" s="116" t="str">
        <f>'Vstupy V'!C79</f>
        <v>1. Materiál</v>
      </c>
      <c r="D79" s="40"/>
      <c r="E79" s="15"/>
      <c r="F79" s="415" t="s">
        <v>594</v>
      </c>
      <c r="G79" s="417">
        <f>SUM(F104:P104)</f>
        <v>0</v>
      </c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4.25">
      <c r="A80" s="143" t="s">
        <v>308</v>
      </c>
      <c r="B80" s="18"/>
      <c r="C80" s="41" t="str">
        <f>'Vstupy V'!C80</f>
        <v>1.1 surová voda podzemní + povrchová</v>
      </c>
      <c r="D80" s="48" t="str">
        <f>$D$6</f>
        <v>tis. Kč</v>
      </c>
      <c r="E80" s="205">
        <v>0</v>
      </c>
      <c r="F80" s="175">
        <f>'[1]OV ex ante'!F162</f>
        <v>0</v>
      </c>
      <c r="G80" s="175">
        <f>'[1]OV ex ante'!G162</f>
        <v>0</v>
      </c>
      <c r="H80" s="175">
        <f>'[1]OV ex ante'!H162</f>
        <v>0</v>
      </c>
      <c r="I80" s="175">
        <f>'[1]OV ex ante'!I162</f>
        <v>0</v>
      </c>
      <c r="J80" s="175">
        <f>'[1]OV ex ante'!J162</f>
        <v>0</v>
      </c>
      <c r="K80" s="175">
        <f>'[1]OV ex ante'!K162</f>
        <v>0</v>
      </c>
      <c r="L80" s="175">
        <f>'[1]OV ex ante'!L162</f>
        <v>0</v>
      </c>
      <c r="M80" s="175">
        <f>'[1]OV ex ante'!M162</f>
        <v>0</v>
      </c>
      <c r="N80" s="175">
        <f>'[1]OV ex ante'!N162</f>
        <v>0</v>
      </c>
      <c r="O80" s="175">
        <f>'[1]OV ex ante'!O162</f>
        <v>0</v>
      </c>
      <c r="P80" s="175">
        <f>'[1]OV ex ante'!P162</f>
        <v>0</v>
      </c>
    </row>
    <row r="81" spans="1:16" ht="14.25">
      <c r="A81" s="143" t="s">
        <v>308</v>
      </c>
      <c r="B81" s="18"/>
      <c r="C81" s="44" t="str">
        <f>'Vstupy V'!C81</f>
        <v>1.2 pitná voda převzatá + odpadní voda předaná k čištění</v>
      </c>
      <c r="D81" s="52" t="str">
        <f>$D$6</f>
        <v>tis. Kč</v>
      </c>
      <c r="E81" s="207">
        <v>0</v>
      </c>
      <c r="F81" s="176">
        <f>'[1]OV ex ante'!F163</f>
        <v>0</v>
      </c>
      <c r="G81" s="176">
        <f>'[1]OV ex ante'!G163</f>
        <v>4150</v>
      </c>
      <c r="H81" s="176">
        <f>'[1]OV ex ante'!H163</f>
        <v>5666</v>
      </c>
      <c r="I81" s="176">
        <f>'[1]OV ex ante'!I163</f>
        <v>5952</v>
      </c>
      <c r="J81" s="176">
        <f>'[1]OV ex ante'!J163</f>
        <v>6212</v>
      </c>
      <c r="K81" s="176">
        <f>'[1]OV ex ante'!K163</f>
        <v>6342</v>
      </c>
      <c r="L81" s="176">
        <f>'[1]OV ex ante'!L163</f>
        <v>6342</v>
      </c>
      <c r="M81" s="176">
        <f>'[1]OV ex ante'!M163</f>
        <v>6342</v>
      </c>
      <c r="N81" s="176">
        <f>'[1]OV ex ante'!N163</f>
        <v>6342</v>
      </c>
      <c r="O81" s="176">
        <f>'[1]OV ex ante'!O163</f>
        <v>6342</v>
      </c>
      <c r="P81" s="176">
        <f>'[1]OV ex ante'!P163</f>
        <v>6342</v>
      </c>
    </row>
    <row r="82" spans="1:16" ht="14.25">
      <c r="A82" s="143" t="s">
        <v>308</v>
      </c>
      <c r="B82" s="18"/>
      <c r="C82" s="44" t="str">
        <f>'Vstupy V'!C82</f>
        <v>1.3 chemikálie</v>
      </c>
      <c r="D82" s="52" t="str">
        <f>$D$6</f>
        <v>tis. Kč</v>
      </c>
      <c r="E82" s="207">
        <v>0</v>
      </c>
      <c r="F82" s="176">
        <f>'[1]OV ex ante'!F164</f>
        <v>0</v>
      </c>
      <c r="G82" s="176">
        <f>'[1]OV ex ante'!G164</f>
        <v>0</v>
      </c>
      <c r="H82" s="176">
        <f>'[1]OV ex ante'!H164</f>
        <v>0</v>
      </c>
      <c r="I82" s="176">
        <f>'[1]OV ex ante'!I164</f>
        <v>0</v>
      </c>
      <c r="J82" s="176">
        <f>'[1]OV ex ante'!J164</f>
        <v>0</v>
      </c>
      <c r="K82" s="176">
        <f>'[1]OV ex ante'!K164</f>
        <v>0</v>
      </c>
      <c r="L82" s="176">
        <f>'[1]OV ex ante'!L164</f>
        <v>0</v>
      </c>
      <c r="M82" s="176">
        <f>'[1]OV ex ante'!M164</f>
        <v>0</v>
      </c>
      <c r="N82" s="176">
        <f>'[1]OV ex ante'!N164</f>
        <v>0</v>
      </c>
      <c r="O82" s="176">
        <f>'[1]OV ex ante'!O164</f>
        <v>0</v>
      </c>
      <c r="P82" s="176">
        <f>'[1]OV ex ante'!P164</f>
        <v>0</v>
      </c>
    </row>
    <row r="83" spans="1:16" ht="14.25">
      <c r="A83" s="143" t="s">
        <v>308</v>
      </c>
      <c r="B83" s="18"/>
      <c r="C83" s="45" t="str">
        <f>'Vstupy V'!C83</f>
        <v>1.4 ostatní materiál</v>
      </c>
      <c r="D83" s="49" t="str">
        <f>$D$6</f>
        <v>tis. Kč</v>
      </c>
      <c r="E83" s="211">
        <v>0</v>
      </c>
      <c r="F83" s="181">
        <f>'[1]OV ex ante'!F165</f>
        <v>0</v>
      </c>
      <c r="G83" s="181">
        <f>'[1]OV ex ante'!G165</f>
        <v>0</v>
      </c>
      <c r="H83" s="181">
        <f>'[1]OV ex ante'!H165</f>
        <v>0</v>
      </c>
      <c r="I83" s="181">
        <f>'[1]OV ex ante'!I165</f>
        <v>0</v>
      </c>
      <c r="J83" s="181">
        <f>'[1]OV ex ante'!J165</f>
        <v>0</v>
      </c>
      <c r="K83" s="181">
        <f>'[1]OV ex ante'!K165</f>
        <v>0</v>
      </c>
      <c r="L83" s="181">
        <f>'[1]OV ex ante'!L165</f>
        <v>0</v>
      </c>
      <c r="M83" s="181">
        <f>'[1]OV ex ante'!M165</f>
        <v>0</v>
      </c>
      <c r="N83" s="181">
        <f>'[1]OV ex ante'!N165</f>
        <v>0</v>
      </c>
      <c r="O83" s="181">
        <f>'[1]OV ex ante'!O165</f>
        <v>0</v>
      </c>
      <c r="P83" s="181">
        <f>'[1]OV ex ante'!P165</f>
        <v>0</v>
      </c>
    </row>
    <row r="84" spans="1:16" ht="14.25">
      <c r="A84" s="18"/>
      <c r="B84" s="18"/>
      <c r="C84" s="117" t="str">
        <f>'Vstupy V'!C84</f>
        <v>2. Energie</v>
      </c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4.25">
      <c r="A85" s="143" t="s">
        <v>308</v>
      </c>
      <c r="B85" s="18"/>
      <c r="C85" s="41" t="str">
        <f>'Vstupy V'!C85</f>
        <v>2.1 elektrická energie</v>
      </c>
      <c r="D85" s="48" t="str">
        <f>$D$6</f>
        <v>tis. Kč</v>
      </c>
      <c r="E85" s="205">
        <v>0</v>
      </c>
      <c r="F85" s="175">
        <f>'[1]OV ex ante'!F166</f>
        <v>0</v>
      </c>
      <c r="G85" s="175">
        <f>'[1]OV ex ante'!G166</f>
        <v>0</v>
      </c>
      <c r="H85" s="175">
        <f>'[1]OV ex ante'!H166</f>
        <v>0</v>
      </c>
      <c r="I85" s="175">
        <f>'[1]OV ex ante'!I166</f>
        <v>0</v>
      </c>
      <c r="J85" s="175">
        <f>'[1]OV ex ante'!J166</f>
        <v>0</v>
      </c>
      <c r="K85" s="175">
        <f>'[1]OV ex ante'!K166</f>
        <v>0</v>
      </c>
      <c r="L85" s="175">
        <f>'[1]OV ex ante'!L166</f>
        <v>0</v>
      </c>
      <c r="M85" s="175">
        <f>'[1]OV ex ante'!M166</f>
        <v>0</v>
      </c>
      <c r="N85" s="175">
        <f>'[1]OV ex ante'!N166</f>
        <v>0</v>
      </c>
      <c r="O85" s="175">
        <f>'[1]OV ex ante'!O166</f>
        <v>0</v>
      </c>
      <c r="P85" s="175">
        <f>'[1]OV ex ante'!P166</f>
        <v>0</v>
      </c>
    </row>
    <row r="86" spans="1:16" ht="14.25">
      <c r="A86" s="143" t="s">
        <v>308</v>
      </c>
      <c r="B86" s="18"/>
      <c r="C86" s="45" t="str">
        <f>'Vstupy V'!C86</f>
        <v>2.2 ostatní energie (plyn, pevná a kapalná energie)</v>
      </c>
      <c r="D86" s="49" t="str">
        <f>$D$6</f>
        <v>tis. Kč</v>
      </c>
      <c r="E86" s="211">
        <v>0</v>
      </c>
      <c r="F86" s="181">
        <f>'[1]OV ex ante'!F167</f>
        <v>0</v>
      </c>
      <c r="G86" s="181">
        <f>'[1]OV ex ante'!G167</f>
        <v>0</v>
      </c>
      <c r="H86" s="181">
        <f>'[1]OV ex ante'!H167</f>
        <v>0</v>
      </c>
      <c r="I86" s="181">
        <f>'[1]OV ex ante'!I167</f>
        <v>0</v>
      </c>
      <c r="J86" s="181">
        <f>'[1]OV ex ante'!J167</f>
        <v>0</v>
      </c>
      <c r="K86" s="181">
        <f>'[1]OV ex ante'!K167</f>
        <v>0</v>
      </c>
      <c r="L86" s="181">
        <f>'[1]OV ex ante'!L167</f>
        <v>0</v>
      </c>
      <c r="M86" s="181">
        <f>'[1]OV ex ante'!M167</f>
        <v>0</v>
      </c>
      <c r="N86" s="181">
        <f>'[1]OV ex ante'!N167</f>
        <v>0</v>
      </c>
      <c r="O86" s="181">
        <f>'[1]OV ex ante'!O167</f>
        <v>0</v>
      </c>
      <c r="P86" s="181">
        <f>'[1]OV ex ante'!P167</f>
        <v>0</v>
      </c>
    </row>
    <row r="87" spans="1:16" ht="14.25">
      <c r="A87" s="18"/>
      <c r="B87" s="18"/>
      <c r="C87" s="117" t="str">
        <f>'Vstupy V'!C87</f>
        <v>3. Mzdy</v>
      </c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4.25">
      <c r="A88" s="143" t="s">
        <v>308</v>
      </c>
      <c r="B88" s="18"/>
      <c r="C88" s="41" t="str">
        <f>'Vstupy V'!C88</f>
        <v>3.1 přímé mzdy</v>
      </c>
      <c r="D88" s="48" t="str">
        <f>$D$6</f>
        <v>tis. Kč</v>
      </c>
      <c r="E88" s="205">
        <v>0</v>
      </c>
      <c r="F88" s="175">
        <f>'[1]OV ex ante'!F168</f>
        <v>0</v>
      </c>
      <c r="G88" s="175">
        <f>'[1]OV ex ante'!G168</f>
        <v>0</v>
      </c>
      <c r="H88" s="175">
        <f>'[1]OV ex ante'!H168</f>
        <v>0</v>
      </c>
      <c r="I88" s="175">
        <f>'[1]OV ex ante'!I168</f>
        <v>0</v>
      </c>
      <c r="J88" s="175">
        <f>'[1]OV ex ante'!J168</f>
        <v>0</v>
      </c>
      <c r="K88" s="175">
        <f>'[1]OV ex ante'!K168</f>
        <v>0</v>
      </c>
      <c r="L88" s="175">
        <f>'[1]OV ex ante'!L168</f>
        <v>0</v>
      </c>
      <c r="M88" s="175">
        <f>'[1]OV ex ante'!M168</f>
        <v>0</v>
      </c>
      <c r="N88" s="175">
        <f>'[1]OV ex ante'!N168</f>
        <v>0</v>
      </c>
      <c r="O88" s="175">
        <f>'[1]OV ex ante'!O168</f>
        <v>0</v>
      </c>
      <c r="P88" s="175">
        <f>'[1]OV ex ante'!P168</f>
        <v>0</v>
      </c>
    </row>
    <row r="89" spans="1:16" ht="14.25">
      <c r="A89" s="143" t="s">
        <v>308</v>
      </c>
      <c r="B89" s="18"/>
      <c r="C89" s="45" t="str">
        <f>'Vstupy V'!C89</f>
        <v>3.2 ostatní osobní náklady</v>
      </c>
      <c r="D89" s="49" t="str">
        <f>$D$6</f>
        <v>tis. Kč</v>
      </c>
      <c r="E89" s="211">
        <v>0</v>
      </c>
      <c r="F89" s="181">
        <f>'[1]OV ex ante'!F169</f>
        <v>0</v>
      </c>
      <c r="G89" s="181">
        <f>'[1]OV ex ante'!G169</f>
        <v>0</v>
      </c>
      <c r="H89" s="181">
        <f>'[1]OV ex ante'!H169</f>
        <v>0</v>
      </c>
      <c r="I89" s="181">
        <f>'[1]OV ex ante'!I169</f>
        <v>0</v>
      </c>
      <c r="J89" s="181">
        <f>'[1]OV ex ante'!J169</f>
        <v>0</v>
      </c>
      <c r="K89" s="181">
        <f>'[1]OV ex ante'!K169</f>
        <v>0</v>
      </c>
      <c r="L89" s="181">
        <f>'[1]OV ex ante'!L169</f>
        <v>0</v>
      </c>
      <c r="M89" s="181">
        <f>'[1]OV ex ante'!M169</f>
        <v>0</v>
      </c>
      <c r="N89" s="181">
        <f>'[1]OV ex ante'!N169</f>
        <v>0</v>
      </c>
      <c r="O89" s="181">
        <f>'[1]OV ex ante'!O169</f>
        <v>0</v>
      </c>
      <c r="P89" s="181">
        <f>'[1]OV ex ante'!P169</f>
        <v>0</v>
      </c>
    </row>
    <row r="90" spans="1:16" ht="14.25">
      <c r="A90" s="18"/>
      <c r="B90" s="18"/>
      <c r="C90" s="117" t="str">
        <f>'Vstupy V'!C90</f>
        <v>4. Ostatní přímé náklady, 5. Provozní náklady</v>
      </c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4.25">
      <c r="A91" s="143" t="s">
        <v>308</v>
      </c>
      <c r="B91" s="18"/>
      <c r="C91" s="114" t="str">
        <f>'Vstupy V'!C91</f>
        <v>4.1 odpisy - pouze historické údaje!</v>
      </c>
      <c r="D91" s="48" t="str">
        <f aca="true" t="shared" si="19" ref="D91:D103">$D$6</f>
        <v>tis. Kč</v>
      </c>
      <c r="E91" s="205">
        <v>0</v>
      </c>
      <c r="F91" s="280">
        <v>0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4.25">
      <c r="A92" s="143" t="s">
        <v>308</v>
      </c>
      <c r="B92" s="18"/>
      <c r="C92" s="44" t="str">
        <f>'Vstupy V'!C92</f>
        <v>4.2 opravy infrastrukturního majetku</v>
      </c>
      <c r="D92" s="52" t="str">
        <f t="shared" si="19"/>
        <v>tis. Kč</v>
      </c>
      <c r="E92" s="207">
        <v>0</v>
      </c>
      <c r="F92" s="176">
        <f>'[1]OV ex ante'!F170+'[1]OV ex ante'!F171</f>
        <v>0</v>
      </c>
      <c r="G92" s="176">
        <f>'[1]OV ex ante'!G170+'[1]OV ex ante'!G171</f>
        <v>0</v>
      </c>
      <c r="H92" s="176">
        <f>'[1]OV ex ante'!H170+'[1]OV ex ante'!H171</f>
        <v>0</v>
      </c>
      <c r="I92" s="176">
        <f>'[1]OV ex ante'!I170+'[1]OV ex ante'!I171</f>
        <v>0</v>
      </c>
      <c r="J92" s="176">
        <f>'[1]OV ex ante'!J170+'[1]OV ex ante'!J171</f>
        <v>0</v>
      </c>
      <c r="K92" s="176">
        <f>'[1]OV ex ante'!K170+'[1]OV ex ante'!K171</f>
        <v>0</v>
      </c>
      <c r="L92" s="176">
        <f>'[1]OV ex ante'!L170+'[1]OV ex ante'!L171</f>
        <v>0</v>
      </c>
      <c r="M92" s="176">
        <f>'[1]OV ex ante'!M170+'[1]OV ex ante'!M171</f>
        <v>0</v>
      </c>
      <c r="N92" s="176">
        <f>'[1]OV ex ante'!N170+'[1]OV ex ante'!N171</f>
        <v>0</v>
      </c>
      <c r="O92" s="176">
        <f>'[1]OV ex ante'!O170+'[1]OV ex ante'!O171</f>
        <v>0</v>
      </c>
      <c r="P92" s="176">
        <f>'[1]OV ex ante'!P170+'[1]OV ex ante'!P171</f>
        <v>0</v>
      </c>
    </row>
    <row r="93" spans="1:16" ht="14.25">
      <c r="A93" s="143" t="s">
        <v>308</v>
      </c>
      <c r="B93" s="18"/>
      <c r="C93" s="44" t="str">
        <f>'Vstupy V'!C93</f>
        <v>4.3 nájem infrastrukturního majetku - pouze historické údaje!</v>
      </c>
      <c r="D93" s="52" t="str">
        <f t="shared" si="19"/>
        <v>tis. Kč</v>
      </c>
      <c r="E93" s="207">
        <v>0</v>
      </c>
      <c r="F93" s="282">
        <f>'Najemne S'!F26</f>
        <v>0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4.25">
      <c r="A94" s="143" t="s">
        <v>308</v>
      </c>
      <c r="B94" s="18"/>
      <c r="C94" s="44" t="str">
        <f>'Vstupy V'!C94</f>
        <v>5.1 poplatky za vypouštění odpadních vod</v>
      </c>
      <c r="D94" s="52" t="str">
        <f t="shared" si="19"/>
        <v>tis. Kč</v>
      </c>
      <c r="E94" s="207">
        <v>0</v>
      </c>
      <c r="F94" s="176">
        <f>'[1]OV ex ante'!F172</f>
        <v>0</v>
      </c>
      <c r="G94" s="176">
        <f>'[1]OV ex ante'!G172</f>
        <v>0</v>
      </c>
      <c r="H94" s="176">
        <f>'[1]OV ex ante'!H172</f>
        <v>0</v>
      </c>
      <c r="I94" s="176">
        <f>'[1]OV ex ante'!I172</f>
        <v>0</v>
      </c>
      <c r="J94" s="176">
        <f>'[1]OV ex ante'!J172</f>
        <v>0</v>
      </c>
      <c r="K94" s="176">
        <f>'[1]OV ex ante'!K172</f>
        <v>0</v>
      </c>
      <c r="L94" s="176">
        <f>'[1]OV ex ante'!L172</f>
        <v>0</v>
      </c>
      <c r="M94" s="176">
        <f>'[1]OV ex ante'!M172</f>
        <v>0</v>
      </c>
      <c r="N94" s="176">
        <f>'[1]OV ex ante'!N172</f>
        <v>0</v>
      </c>
      <c r="O94" s="176">
        <f>'[1]OV ex ante'!O172</f>
        <v>0</v>
      </c>
      <c r="P94" s="176">
        <f>'[1]OV ex ante'!P172</f>
        <v>0</v>
      </c>
    </row>
    <row r="95" spans="1:16" ht="14.25">
      <c r="A95" s="143" t="s">
        <v>308</v>
      </c>
      <c r="B95" s="18"/>
      <c r="C95" s="44" t="str">
        <f>'Vstupy V'!C95</f>
        <v>5.2 ostatní provozní náklady externí</v>
      </c>
      <c r="D95" s="52" t="str">
        <f t="shared" si="19"/>
        <v>tis. Kč</v>
      </c>
      <c r="E95" s="207">
        <v>0</v>
      </c>
      <c r="F95" s="176">
        <f>'[1]OV ex ante'!F173</f>
        <v>0</v>
      </c>
      <c r="G95" s="176">
        <f>'[1]OV ex ante'!G173</f>
        <v>0</v>
      </c>
      <c r="H95" s="176">
        <f>'[1]OV ex ante'!H173</f>
        <v>0</v>
      </c>
      <c r="I95" s="176">
        <f>'[1]OV ex ante'!I173</f>
        <v>0</v>
      </c>
      <c r="J95" s="176">
        <f>'[1]OV ex ante'!J173</f>
        <v>0</v>
      </c>
      <c r="K95" s="176">
        <f>'[1]OV ex ante'!K173</f>
        <v>0</v>
      </c>
      <c r="L95" s="176">
        <f>'[1]OV ex ante'!L173</f>
        <v>0</v>
      </c>
      <c r="M95" s="176">
        <f>'[1]OV ex ante'!M173</f>
        <v>0</v>
      </c>
      <c r="N95" s="176">
        <f>'[1]OV ex ante'!N173</f>
        <v>0</v>
      </c>
      <c r="O95" s="176">
        <f>'[1]OV ex ante'!O173</f>
        <v>0</v>
      </c>
      <c r="P95" s="176">
        <f>'[1]OV ex ante'!P173</f>
        <v>0</v>
      </c>
    </row>
    <row r="96" spans="1:16" ht="14.25">
      <c r="A96" s="143" t="s">
        <v>308</v>
      </c>
      <c r="B96" s="18"/>
      <c r="C96" s="45" t="str">
        <f>'Vstupy V'!C96</f>
        <v>5.3 ostatní provozní náklady ve vlastní režii</v>
      </c>
      <c r="D96" s="49" t="str">
        <f t="shared" si="19"/>
        <v>tis. Kč</v>
      </c>
      <c r="E96" s="211">
        <v>0</v>
      </c>
      <c r="F96" s="181">
        <f>'[1]OV ex ante'!F174</f>
        <v>0</v>
      </c>
      <c r="G96" s="181">
        <f>'[1]OV ex ante'!G174</f>
        <v>0</v>
      </c>
      <c r="H96" s="181">
        <f>'[1]OV ex ante'!H174</f>
        <v>0</v>
      </c>
      <c r="I96" s="181">
        <f>'[1]OV ex ante'!I174</f>
        <v>0</v>
      </c>
      <c r="J96" s="181">
        <f>'[1]OV ex ante'!J174</f>
        <v>0</v>
      </c>
      <c r="K96" s="181">
        <f>'[1]OV ex ante'!K174</f>
        <v>0</v>
      </c>
      <c r="L96" s="181">
        <f>'[1]OV ex ante'!L174</f>
        <v>0</v>
      </c>
      <c r="M96" s="181">
        <f>'[1]OV ex ante'!M174</f>
        <v>0</v>
      </c>
      <c r="N96" s="181">
        <f>'[1]OV ex ante'!N174</f>
        <v>0</v>
      </c>
      <c r="O96" s="181">
        <f>'[1]OV ex ante'!O174</f>
        <v>0</v>
      </c>
      <c r="P96" s="181">
        <f>'[1]OV ex ante'!P174</f>
        <v>0</v>
      </c>
    </row>
    <row r="97" spans="1:16" ht="14.25">
      <c r="A97" s="143" t="s">
        <v>308</v>
      </c>
      <c r="B97" s="18"/>
      <c r="C97" s="117" t="str">
        <f>'Vstupy V'!C97</f>
        <v>6. Finanční náklady - 7. Finanční výnosy</v>
      </c>
      <c r="D97" s="52" t="str">
        <f t="shared" si="19"/>
        <v>tis. Kč</v>
      </c>
      <c r="E97" s="207">
        <v>0</v>
      </c>
      <c r="F97" s="182">
        <f>'[1]OV ex ante'!F213+'[1]OV ex ante'!F214</f>
        <v>0</v>
      </c>
      <c r="G97" s="182">
        <f>'[1]OV ex ante'!G213+'[1]OV ex ante'!G214</f>
        <v>0</v>
      </c>
      <c r="H97" s="182">
        <f>'[1]OV ex ante'!H213+'[1]OV ex ante'!H214</f>
        <v>0</v>
      </c>
      <c r="I97" s="182">
        <f>'[1]OV ex ante'!I213+'[1]OV ex ante'!I214</f>
        <v>0</v>
      </c>
      <c r="J97" s="182">
        <f>'[1]OV ex ante'!J213+'[1]OV ex ante'!J214</f>
        <v>0</v>
      </c>
      <c r="K97" s="182">
        <f>'[1]OV ex ante'!K213+'[1]OV ex ante'!K214</f>
        <v>0</v>
      </c>
      <c r="L97" s="182">
        <f>'[1]OV ex ante'!L213+'[1]OV ex ante'!L214</f>
        <v>0</v>
      </c>
      <c r="M97" s="182">
        <f>'[1]OV ex ante'!M213+'[1]OV ex ante'!M214</f>
        <v>0</v>
      </c>
      <c r="N97" s="182">
        <f>'[1]OV ex ante'!N213+'[1]OV ex ante'!N214</f>
        <v>0</v>
      </c>
      <c r="O97" s="182">
        <f>'[1]OV ex ante'!O213+'[1]OV ex ante'!O214</f>
        <v>0</v>
      </c>
      <c r="P97" s="182">
        <f>'[1]OV ex ante'!P213+'[1]OV ex ante'!P214</f>
        <v>0</v>
      </c>
    </row>
    <row r="98" spans="1:16" ht="14.25">
      <c r="A98" s="143" t="s">
        <v>308</v>
      </c>
      <c r="B98" s="18"/>
      <c r="C98" s="118" t="str">
        <f>'Vstupy V'!C98</f>
        <v>8. Výrobní režie (včetně odpisů)</v>
      </c>
      <c r="D98" s="48" t="str">
        <f t="shared" si="19"/>
        <v>tis. Kč</v>
      </c>
      <c r="E98" s="205">
        <v>0</v>
      </c>
      <c r="F98" s="175">
        <f>'[1]OV ex ante'!F175</f>
        <v>0</v>
      </c>
      <c r="G98" s="175">
        <f>'[1]OV ex ante'!G175</f>
        <v>0</v>
      </c>
      <c r="H98" s="175">
        <f>'[1]OV ex ante'!H175</f>
        <v>0</v>
      </c>
      <c r="I98" s="175">
        <f>'[1]OV ex ante'!I175</f>
        <v>0</v>
      </c>
      <c r="J98" s="175">
        <f>'[1]OV ex ante'!J175</f>
        <v>0</v>
      </c>
      <c r="K98" s="175">
        <f>'[1]OV ex ante'!K175</f>
        <v>0</v>
      </c>
      <c r="L98" s="175">
        <f>'[1]OV ex ante'!L175</f>
        <v>0</v>
      </c>
      <c r="M98" s="175">
        <f>'[1]OV ex ante'!M175</f>
        <v>0</v>
      </c>
      <c r="N98" s="175">
        <f>'[1]OV ex ante'!N175</f>
        <v>0</v>
      </c>
      <c r="O98" s="175">
        <f>'[1]OV ex ante'!O175</f>
        <v>0</v>
      </c>
      <c r="P98" s="175">
        <f>'[1]OV ex ante'!P175</f>
        <v>0</v>
      </c>
    </row>
    <row r="99" spans="1:16" ht="14.25">
      <c r="A99" s="143" t="s">
        <v>308</v>
      </c>
      <c r="B99" s="18"/>
      <c r="C99" s="45" t="str">
        <f>IF(CZ_EN=1,VLOOKUP("k tomu odpisy",Slovnik,1,0),VLOOKUP("k tomu odpisy",Slovnik,2,0))</f>
        <v>k tomu odpisy</v>
      </c>
      <c r="D99" s="49" t="str">
        <f t="shared" si="19"/>
        <v>tis. Kč</v>
      </c>
      <c r="E99" s="211">
        <v>0</v>
      </c>
      <c r="F99" s="419">
        <f>IF(OR(opm=2,opm=3),0,'Vypocty S'!F27-'Vstupy S'!F101)</f>
        <v>0</v>
      </c>
      <c r="G99" s="390">
        <f>IF(OR(opm=2,opm=3),0,'Vypocty S'!G27-'Vstupy S'!G101)</f>
        <v>0</v>
      </c>
      <c r="H99" s="390">
        <f>IF(OR(opm=2,opm=3),0,'Vypocty S'!H27-'Vstupy S'!H101)</f>
        <v>0</v>
      </c>
      <c r="I99" s="390">
        <f>IF(OR(opm=2,opm=3),0,'Vypocty S'!I27-'Vstupy S'!I101)</f>
        <v>0</v>
      </c>
      <c r="J99" s="390">
        <f>IF(OR(opm=2,opm=3),0,'Vypocty S'!J27-'Vstupy S'!J101)</f>
        <v>0</v>
      </c>
      <c r="K99" s="390">
        <f>IF(OR(opm=2,opm=3),0,'Vypocty S'!K27-'Vstupy S'!K101)</f>
        <v>0</v>
      </c>
      <c r="L99" s="390">
        <f>IF(OR(opm=2,opm=3),0,'Vypocty S'!L27-'Vstupy S'!L101)</f>
        <v>0</v>
      </c>
      <c r="M99" s="390">
        <f>IF(OR(opm=2,opm=3),0,'Vypocty S'!M27-'Vstupy S'!M101)</f>
        <v>0</v>
      </c>
      <c r="N99" s="390">
        <f>IF(OR(opm=2,opm=3),0,'Vypocty S'!N27-'Vstupy S'!N101)</f>
        <v>0</v>
      </c>
      <c r="O99" s="390">
        <f>IF(OR(opm=2,opm=3),0,'Vypocty S'!O27-'Vstupy S'!O101)</f>
        <v>0</v>
      </c>
      <c r="P99" s="390">
        <f>IF(OR(opm=2,opm=3),0,'Vypocty S'!P27-'Vstupy S'!P101)</f>
        <v>0</v>
      </c>
    </row>
    <row r="100" spans="1:16" ht="14.25">
      <c r="A100" s="143" t="s">
        <v>308</v>
      </c>
      <c r="B100" s="18"/>
      <c r="C100" s="118" t="str">
        <f>'Vstupy V'!C100</f>
        <v>9. Správní režie (včetně odpisů)</v>
      </c>
      <c r="D100" s="48" t="str">
        <f t="shared" si="19"/>
        <v>tis. Kč</v>
      </c>
      <c r="E100" s="205">
        <v>0</v>
      </c>
      <c r="F100" s="176">
        <f>'[1]OV ex ante'!F176</f>
        <v>0</v>
      </c>
      <c r="G100" s="176">
        <f>'[1]OV ex ante'!G176</f>
        <v>0</v>
      </c>
      <c r="H100" s="176">
        <f>'[1]OV ex ante'!H176</f>
        <v>0</v>
      </c>
      <c r="I100" s="176">
        <f>'[1]OV ex ante'!I176</f>
        <v>0</v>
      </c>
      <c r="J100" s="176">
        <f>'[1]OV ex ante'!J176</f>
        <v>0</v>
      </c>
      <c r="K100" s="176">
        <f>'[1]OV ex ante'!K176</f>
        <v>0</v>
      </c>
      <c r="L100" s="176">
        <f>'[1]OV ex ante'!L176</f>
        <v>0</v>
      </c>
      <c r="M100" s="176">
        <f>'[1]OV ex ante'!M176</f>
        <v>0</v>
      </c>
      <c r="N100" s="176">
        <f>'[1]OV ex ante'!N176</f>
        <v>0</v>
      </c>
      <c r="O100" s="176">
        <f>'[1]OV ex ante'!O176</f>
        <v>0</v>
      </c>
      <c r="P100" s="176">
        <f>'[1]OV ex ante'!P176</f>
        <v>0</v>
      </c>
    </row>
    <row r="101" spans="1:16" ht="14.25">
      <c r="A101" s="143" t="s">
        <v>308</v>
      </c>
      <c r="B101" s="18"/>
      <c r="C101" s="45" t="str">
        <f>C99</f>
        <v>k tomu odpisy</v>
      </c>
      <c r="D101" s="49" t="str">
        <f t="shared" si="19"/>
        <v>tis. Kč</v>
      </c>
      <c r="E101" s="211">
        <v>0</v>
      </c>
      <c r="F101" s="41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</row>
    <row r="102" spans="1:16" ht="14.25">
      <c r="A102" s="18"/>
      <c r="B102" s="18"/>
      <c r="C102" s="15" t="str">
        <f>IF(CZ_EN=1,VLOOKUP("Celkové vlastní náklady dle kalkulace",Slovnik,1,0),VLOOKUP("Celkové vlastní náklady dle kalkulace",Slovnik,2,0))</f>
        <v>Celkové vlastní náklady dle kalkulace</v>
      </c>
      <c r="D102" s="40" t="str">
        <f t="shared" si="19"/>
        <v>tis. Kč</v>
      </c>
      <c r="E102" s="216">
        <f>SUM(E80:E83,E85:E86,E88:E89,E91:E101)</f>
        <v>0</v>
      </c>
      <c r="F102" s="291">
        <f>SUM(F80:F83,F85:F86,F88:F89,F91:F101)</f>
        <v>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ht="25.5">
      <c r="A103" s="18"/>
      <c r="B103" s="18"/>
      <c r="C103" s="55" t="str">
        <f>IF(CZ_EN=1,VLOOKUP("Celkové vlastní náklady kromě odpisů, nájemného a finančních nákladů",Slovnik,1,0),VLOOKUP("Celkové vlastní náklady kromě odpisů, nájemného a finančních nákladů",Slovnik,2,0))</f>
        <v>Celkové vlastní náklady kromě odpisů, nájemného a finančních nákladů</v>
      </c>
      <c r="D103" s="49" t="str">
        <f t="shared" si="19"/>
        <v>tis. Kč</v>
      </c>
      <c r="E103" s="212">
        <f>SUM(E80:E83,E85:E86,E88:E89,E92,E94:E96,E98,E100)</f>
        <v>0</v>
      </c>
      <c r="F103" s="291">
        <f aca="true" t="shared" si="20" ref="F103:P103">SUM(F80:F83,F85:F86,F88:F89,F92,F94:F96,F98,F100)</f>
        <v>0</v>
      </c>
      <c r="G103" s="47">
        <f t="shared" si="20"/>
        <v>4150</v>
      </c>
      <c r="H103" s="47">
        <f t="shared" si="20"/>
        <v>5666</v>
      </c>
      <c r="I103" s="47">
        <f t="shared" si="20"/>
        <v>5952</v>
      </c>
      <c r="J103" s="47">
        <f t="shared" si="20"/>
        <v>6212</v>
      </c>
      <c r="K103" s="47">
        <f t="shared" si="20"/>
        <v>6342</v>
      </c>
      <c r="L103" s="47">
        <f t="shared" si="20"/>
        <v>6342</v>
      </c>
      <c r="M103" s="47">
        <f t="shared" si="20"/>
        <v>6342</v>
      </c>
      <c r="N103" s="47">
        <f t="shared" si="20"/>
        <v>6342</v>
      </c>
      <c r="O103" s="47">
        <f t="shared" si="20"/>
        <v>6342</v>
      </c>
      <c r="P103" s="47">
        <f t="shared" si="20"/>
        <v>6342</v>
      </c>
    </row>
    <row r="104" spans="1:16" ht="14.25">
      <c r="A104" s="18"/>
      <c r="B104" s="18"/>
      <c r="C104" s="18"/>
      <c r="D104" s="25"/>
      <c r="E104" s="32"/>
      <c r="F104" s="39">
        <f>F103-'[1]OV ex ante'!F177</f>
        <v>0</v>
      </c>
      <c r="G104" s="39">
        <f>G103-'[1]OV ex ante'!G177</f>
        <v>0</v>
      </c>
      <c r="H104" s="39">
        <f>H103-'[1]OV ex ante'!H177</f>
        <v>0</v>
      </c>
      <c r="I104" s="39">
        <f>I103-'[1]OV ex ante'!I177</f>
        <v>0</v>
      </c>
      <c r="J104" s="39">
        <f>J103-'[1]OV ex ante'!J177</f>
        <v>0</v>
      </c>
      <c r="K104" s="39">
        <f>K103-'[1]OV ex ante'!K177</f>
        <v>0</v>
      </c>
      <c r="L104" s="39">
        <f>L103-'[1]OV ex ante'!L177</f>
        <v>0</v>
      </c>
      <c r="M104" s="39">
        <f>M103-'[1]OV ex ante'!M177</f>
        <v>0</v>
      </c>
      <c r="N104" s="39">
        <f>N103-'[1]OV ex ante'!N177</f>
        <v>0</v>
      </c>
      <c r="O104" s="39">
        <f>O103-'[1]OV ex ante'!O177</f>
        <v>0</v>
      </c>
      <c r="P104" s="39">
        <f>P103-'[1]OV ex ante'!P177</f>
        <v>0</v>
      </c>
    </row>
    <row r="105" spans="1:16" ht="14.25">
      <c r="A105" s="9">
        <f>'Vypocty S'!$D$21</f>
        <v>1</v>
      </c>
      <c r="B105" s="18"/>
      <c r="C105" s="15" t="str">
        <f>IF(CZ_EN=1,VLOOKUP("Daň z příjmu právnických osob",Slovnik,1,0),VLOOKUP("Daň z příjmu právnických osob",Slovnik,2,0))</f>
        <v>Daň z příjmu právnických osob</v>
      </c>
      <c r="D105" s="40" t="str">
        <f>$D$6</f>
        <v>tis. Kč</v>
      </c>
      <c r="E105" s="233">
        <f>'Vypocty S'!E51+'Vypocty S'!E55</f>
        <v>0</v>
      </c>
      <c r="F105" s="290">
        <f>'Vypocty S'!F51+'Vypocty S'!F55</f>
        <v>0</v>
      </c>
      <c r="G105" s="158">
        <f>'Vypocty S'!G51+'Vypocty S'!G55</f>
        <v>20.75901084386114</v>
      </c>
      <c r="H105" s="158">
        <f>'Vypocty S'!H51+'Vypocty S'!H55</f>
        <v>27.012447056818363</v>
      </c>
      <c r="I105" s="158">
        <f>'Vypocty S'!I51+'Vypocty S'!I55</f>
        <v>28.192185023115073</v>
      </c>
      <c r="J105" s="158">
        <f>'Vypocty S'!J51+'Vypocty S'!J55</f>
        <v>29.26467408338479</v>
      </c>
      <c r="K105" s="158">
        <f>'Vypocty S'!K51+'Vypocty S'!K55</f>
        <v>29.800918613519734</v>
      </c>
      <c r="L105" s="158">
        <f>'Vypocty S'!L51+'Vypocty S'!L55</f>
        <v>29.800918613519734</v>
      </c>
      <c r="M105" s="158">
        <f>'Vypocty S'!M51+'Vypocty S'!M55</f>
        <v>29.800918613519734</v>
      </c>
      <c r="N105" s="158">
        <f>'Vypocty S'!N51+'Vypocty S'!N55</f>
        <v>29.800918613519734</v>
      </c>
      <c r="O105" s="158">
        <f>'Vypocty S'!O51+'Vypocty S'!O55</f>
        <v>29.800918613519734</v>
      </c>
      <c r="P105" s="158">
        <f>'Vypocty S'!P51+'Vypocty S'!P55</f>
        <v>29.800918613519734</v>
      </c>
    </row>
    <row r="106" spans="1:16" ht="14.25">
      <c r="A106" s="143" t="s">
        <v>308</v>
      </c>
      <c r="C106" s="15" t="str">
        <f>C105</f>
        <v>Daň z příjmu právnických osob</v>
      </c>
      <c r="D106" s="40" t="str">
        <f>$D$6</f>
        <v>tis. Kč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</row>
    <row r="107" ht="14.25"/>
    <row r="108" spans="1:16" ht="14.25">
      <c r="A108" s="143" t="s">
        <v>308</v>
      </c>
      <c r="C108" s="15" t="str">
        <f>'Vstupy V'!C108</f>
        <v>Výše požadovaných cen (Stálé ceny) - bez DPH</v>
      </c>
      <c r="D108" s="40" t="str">
        <f>'Vystupy S'!D56</f>
        <v>Kč/m3</v>
      </c>
      <c r="E108" s="354"/>
      <c r="F108" s="236">
        <v>0</v>
      </c>
      <c r="G108" s="236">
        <v>0</v>
      </c>
      <c r="H108" s="236">
        <v>0</v>
      </c>
      <c r="I108" s="236">
        <v>0</v>
      </c>
      <c r="J108" s="236">
        <v>0</v>
      </c>
      <c r="K108" s="236">
        <v>0</v>
      </c>
      <c r="L108" s="236">
        <v>0</v>
      </c>
      <c r="M108" s="236">
        <v>0</v>
      </c>
      <c r="N108" s="236">
        <v>0</v>
      </c>
      <c r="O108" s="236">
        <v>0</v>
      </c>
      <c r="P108" s="236">
        <v>0</v>
      </c>
    </row>
    <row r="109" spans="6:16" ht="14.25">
      <c r="F109" s="39">
        <f>'Vystupy S'!F46</f>
        <v>0</v>
      </c>
      <c r="G109" s="39">
        <f>'Vystupy S'!G46</f>
        <v>97.31959564541191</v>
      </c>
      <c r="H109" s="39">
        <f>'Vystupy S'!H46</f>
        <v>125.87132192846002</v>
      </c>
      <c r="I109" s="39">
        <f>'Vystupy S'!I46</f>
        <v>131.2577293934679</v>
      </c>
      <c r="J109" s="39">
        <f>'Vystupy S'!J46</f>
        <v>136.15446345256595</v>
      </c>
      <c r="K109" s="39">
        <f>'Vystupy S'!K46</f>
        <v>138.6028304821154</v>
      </c>
      <c r="L109" s="39">
        <f>'Vystupy S'!L46</f>
        <v>138.6028304821154</v>
      </c>
      <c r="M109" s="39">
        <f>'Vystupy S'!M46</f>
        <v>138.6028304821154</v>
      </c>
      <c r="N109" s="39">
        <f>'Vystupy S'!N46</f>
        <v>138.6028304821154</v>
      </c>
      <c r="O109" s="39">
        <f>'Vystupy S'!O46</f>
        <v>138.6028304821154</v>
      </c>
      <c r="P109" s="39">
        <f>'Vystupy S'!P46</f>
        <v>138.6028304821154</v>
      </c>
    </row>
    <row r="110" spans="1:16" ht="14.25">
      <c r="A110" s="143" t="s">
        <v>308</v>
      </c>
      <c r="C110" s="15" t="str">
        <f>IF(CZ_EN=1,VLOOKUP("Vzdát se zisku ve výši:",Slovnik,1,0),VLOOKUP("Vzdát se zisku ve výši:",Slovnik,2,0))</f>
        <v>Vzdát se zisku ve výši:</v>
      </c>
      <c r="D110" s="40" t="str">
        <f>$D$6</f>
        <v>tis. Kč</v>
      </c>
      <c r="E110" s="354"/>
      <c r="F110" s="182">
        <v>0</v>
      </c>
      <c r="G110" s="182">
        <f>'[2]Nabidka dodavatele'!G153</f>
        <v>0</v>
      </c>
      <c r="H110" s="182">
        <f>'[2]Nabidka dodavatele'!H153</f>
        <v>0</v>
      </c>
      <c r="I110" s="182">
        <f>'[2]Nabidka dodavatele'!I153</f>
        <v>0</v>
      </c>
      <c r="J110" s="182">
        <f>'[2]Nabidka dodavatele'!J153</f>
        <v>0</v>
      </c>
      <c r="K110" s="182">
        <f>'[2]Nabidka dodavatele'!K153</f>
        <v>0</v>
      </c>
      <c r="L110" s="182">
        <v>0</v>
      </c>
      <c r="M110" s="182">
        <v>0</v>
      </c>
      <c r="N110" s="182">
        <v>0</v>
      </c>
      <c r="O110" s="182">
        <v>0</v>
      </c>
      <c r="P110" s="182">
        <v>0</v>
      </c>
    </row>
    <row r="111" ht="14.25"/>
    <row r="112" spans="1:16" ht="14.25">
      <c r="A112" s="18"/>
      <c r="B112" s="62" t="s">
        <v>512</v>
      </c>
      <c r="C112" s="62" t="s">
        <v>525</v>
      </c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</row>
    <row r="113" ht="13.5"/>
    <row r="114" spans="1:16" ht="13.5">
      <c r="A114" s="143" t="s">
        <v>308</v>
      </c>
      <c r="C114" s="41" t="str">
        <f>IF(CZ_EN=1,VLOOKUP("Hodnota infrastrukturního majetku podle VÚME",Slovnik,1,0),VLOOKUP("Hodnota infrastrukturního majetku podle VÚME",Slovnik,2,0))</f>
        <v>Hodnota infrastrukturního majetku podle VÚME</v>
      </c>
      <c r="D114" s="42" t="str">
        <f>$D$6</f>
        <v>tis. Kč</v>
      </c>
      <c r="E114" s="377"/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</row>
    <row r="115" spans="1:16" ht="13.5">
      <c r="A115" s="143" t="s">
        <v>308</v>
      </c>
      <c r="C115" s="44" t="str">
        <f>IF(CZ_EN=1,VLOOKUP("Pořizovací cena provozního majetku",Slovnik,1,0),VLOOKUP("Pořizovací cena provozního majetku",Slovnik,2,0))</f>
        <v>Pořizovací cena provozního majetku</v>
      </c>
      <c r="D115" s="28" t="str">
        <f>$D$6</f>
        <v>tis. Kč</v>
      </c>
      <c r="E115" s="376"/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76">
        <v>0</v>
      </c>
    </row>
    <row r="116" spans="1:16" ht="13.5">
      <c r="A116" s="143" t="s">
        <v>308</v>
      </c>
      <c r="C116" s="45" t="str">
        <f>IF(CZ_EN=1,VLOOKUP("Počet pracovníků",Slovnik,1,0),VLOOKUP("Počet pracovníků",Slovnik,2,0))</f>
        <v>Počet pracovníků</v>
      </c>
      <c r="D116" s="46" t="s">
        <v>520</v>
      </c>
      <c r="E116" s="378"/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</row>
    <row r="117" ht="13.5"/>
    <row r="118" spans="1:16" ht="13.5">
      <c r="A118" s="143" t="s">
        <v>308</v>
      </c>
      <c r="C118" s="41" t="s">
        <v>521</v>
      </c>
      <c r="D118" s="48" t="str">
        <f>D26</f>
        <v>tis. m3/rok</v>
      </c>
      <c r="E118" s="377"/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</row>
    <row r="119" spans="1:16" ht="13.5">
      <c r="A119" s="143" t="s">
        <v>308</v>
      </c>
      <c r="C119" s="45" t="s">
        <v>530</v>
      </c>
      <c r="D119" s="49" t="str">
        <f>D118</f>
        <v>tis. m3/rok</v>
      </c>
      <c r="E119" s="378"/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</row>
    <row r="120" ht="13.5"/>
  </sheetData>
  <sheetProtection password="97A7" sheet="1" objects="1" scenarios="1" formatColumns="0" formatRows="0"/>
  <conditionalFormatting sqref="F68:Q68">
    <cfRule type="expression" priority="61" dxfId="5" stopIfTrue="1">
      <formula>F69=1</formula>
    </cfRule>
  </conditionalFormatting>
  <conditionalFormatting sqref="E10">
    <cfRule type="expression" priority="62" dxfId="235" stopIfTrue="1">
      <formula>$E$9=3</formula>
    </cfRule>
    <cfRule type="expression" priority="63" dxfId="235" stopIfTrue="1">
      <formula>$E$9=2</formula>
    </cfRule>
  </conditionalFormatting>
  <conditionalFormatting sqref="A106">
    <cfRule type="expression" priority="68" dxfId="236" stopIfTrue="1">
      <formula>$A$105=1</formula>
    </cfRule>
  </conditionalFormatting>
  <conditionalFormatting sqref="E23:P23">
    <cfRule type="expression" priority="95" dxfId="240" stopIfTrue="1">
      <formula>E$1=1</formula>
    </cfRule>
    <cfRule type="expression" priority="96" dxfId="241" stopIfTrue="1">
      <formula>E$1=2</formula>
    </cfRule>
  </conditionalFormatting>
  <conditionalFormatting sqref="D24 D29">
    <cfRule type="expression" priority="97" dxfId="232" stopIfTrue="1">
      <formula>E24=0</formula>
    </cfRule>
  </conditionalFormatting>
  <conditionalFormatting sqref="F79">
    <cfRule type="expression" priority="99" dxfId="232" stopIfTrue="1">
      <formula>G79=0</formula>
    </cfRule>
  </conditionalFormatting>
  <conditionalFormatting sqref="A99:B99 A101:B101 D101:E101 D99:E99">
    <cfRule type="expression" priority="100" dxfId="236" stopIfTrue="1">
      <formula>opm=2</formula>
    </cfRule>
  </conditionalFormatting>
  <conditionalFormatting sqref="G6:P6">
    <cfRule type="expression" priority="59" dxfId="2" stopIfTrue="1">
      <formula>G$1=1</formula>
    </cfRule>
    <cfRule type="expression" priority="60" dxfId="1" stopIfTrue="1">
      <formula>G$1=2</formula>
    </cfRule>
  </conditionalFormatting>
  <conditionalFormatting sqref="G21:P21">
    <cfRule type="expression" priority="54" dxfId="2" stopIfTrue="1">
      <formula>G$1=1</formula>
    </cfRule>
    <cfRule type="expression" priority="55" dxfId="1" stopIfTrue="1">
      <formula>G$1=2</formula>
    </cfRule>
  </conditionalFormatting>
  <conditionalFormatting sqref="F20:P20">
    <cfRule type="expression" priority="56" dxfId="2" stopIfTrue="1">
      <formula>F$1=1</formula>
    </cfRule>
    <cfRule type="expression" priority="57" dxfId="1" stopIfTrue="1">
      <formula>F$1=2</formula>
    </cfRule>
    <cfRule type="expression" priority="58" dxfId="0" stopIfTrue="1">
      <formula>F$1=0</formula>
    </cfRule>
  </conditionalFormatting>
  <conditionalFormatting sqref="G2:P2">
    <cfRule type="expression" priority="52" dxfId="2" stopIfTrue="1">
      <formula>G$1=1</formula>
    </cfRule>
    <cfRule type="expression" priority="53" dxfId="1" stopIfTrue="1">
      <formula>G$1=2</formula>
    </cfRule>
  </conditionalFormatting>
  <conditionalFormatting sqref="G27:P27">
    <cfRule type="expression" priority="47" dxfId="2" stopIfTrue="1">
      <formula>G$1=1</formula>
    </cfRule>
    <cfRule type="expression" priority="48" dxfId="1" stopIfTrue="1">
      <formula>G$1=2</formula>
    </cfRule>
  </conditionalFormatting>
  <conditionalFormatting sqref="F26:P26">
    <cfRule type="expression" priority="49" dxfId="2" stopIfTrue="1">
      <formula>F$1=1</formula>
    </cfRule>
    <cfRule type="expression" priority="50" dxfId="1" stopIfTrue="1">
      <formula>F$1=2</formula>
    </cfRule>
    <cfRule type="expression" priority="51" dxfId="0" stopIfTrue="1">
      <formula>F$1=0</formula>
    </cfRule>
  </conditionalFormatting>
  <conditionalFormatting sqref="F28:P28">
    <cfRule type="expression" priority="45" dxfId="240" stopIfTrue="1">
      <formula>F$1=1</formula>
    </cfRule>
    <cfRule type="expression" priority="46" dxfId="241" stopIfTrue="1">
      <formula>F$1=2</formula>
    </cfRule>
  </conditionalFormatting>
  <conditionalFormatting sqref="G36:P36">
    <cfRule type="expression" priority="40" dxfId="2" stopIfTrue="1">
      <formula>G$1=1</formula>
    </cfRule>
    <cfRule type="expression" priority="41" dxfId="1" stopIfTrue="1">
      <formula>G$1=2</formula>
    </cfRule>
  </conditionalFormatting>
  <conditionalFormatting sqref="F35:P35 F37:P37">
    <cfRule type="expression" priority="42" dxfId="2" stopIfTrue="1">
      <formula>F$1=1</formula>
    </cfRule>
    <cfRule type="expression" priority="43" dxfId="1" stopIfTrue="1">
      <formula>F$1=2</formula>
    </cfRule>
    <cfRule type="expression" priority="44" dxfId="0" stopIfTrue="1">
      <formula>F$1=0</formula>
    </cfRule>
  </conditionalFormatting>
  <conditionalFormatting sqref="G38:P38">
    <cfRule type="expression" priority="38" dxfId="2" stopIfTrue="1">
      <formula>G$1=1</formula>
    </cfRule>
    <cfRule type="expression" priority="39" dxfId="1" stopIfTrue="1">
      <formula>G$1=2</formula>
    </cfRule>
  </conditionalFormatting>
  <conditionalFormatting sqref="F40:P40">
    <cfRule type="expression" priority="35" dxfId="2" stopIfTrue="1">
      <formula>F$1=1</formula>
    </cfRule>
    <cfRule type="expression" priority="36" dxfId="1" stopIfTrue="1">
      <formula>F$1=2</formula>
    </cfRule>
    <cfRule type="expression" priority="37" dxfId="0" stopIfTrue="1">
      <formula>F$1=0</formula>
    </cfRule>
  </conditionalFormatting>
  <conditionalFormatting sqref="P63:P64 K53:K54 M57:P58 H44:P48 O61:P62 N59:P60 G44:G46 L49:P56 I49:K50 J51:K52">
    <cfRule type="expression" priority="30" dxfId="2" stopIfTrue="1">
      <formula>G$1=1</formula>
    </cfRule>
    <cfRule type="expression" priority="31" dxfId="1" stopIfTrue="1">
      <formula>G$1=2</formula>
    </cfRule>
  </conditionalFormatting>
  <conditionalFormatting sqref="F43:P43">
    <cfRule type="expression" priority="32" dxfId="2" stopIfTrue="1">
      <formula>F$1=1</formula>
    </cfRule>
    <cfRule type="expression" priority="33" dxfId="1" stopIfTrue="1">
      <formula>F$1=2</formula>
    </cfRule>
    <cfRule type="expression" priority="34" dxfId="0" stopIfTrue="1">
      <formula>F$1=0</formula>
    </cfRule>
  </conditionalFormatting>
  <conditionalFormatting sqref="F67:P67">
    <cfRule type="expression" priority="27" dxfId="2" stopIfTrue="1">
      <formula>F$1=1</formula>
    </cfRule>
    <cfRule type="expression" priority="28" dxfId="1" stopIfTrue="1">
      <formula>F$1=2</formula>
    </cfRule>
    <cfRule type="expression" priority="29" dxfId="0" stopIfTrue="1">
      <formula>F$1=0</formula>
    </cfRule>
  </conditionalFormatting>
  <conditionalFormatting sqref="F72:P72">
    <cfRule type="expression" priority="24" dxfId="2" stopIfTrue="1">
      <formula>F$1=1</formula>
    </cfRule>
    <cfRule type="expression" priority="25" dxfId="1" stopIfTrue="1">
      <formula>F$1=2</formula>
    </cfRule>
    <cfRule type="expression" priority="26" dxfId="0" stopIfTrue="1">
      <formula>F$1=0</formula>
    </cfRule>
  </conditionalFormatting>
  <conditionalFormatting sqref="F74:P74">
    <cfRule type="expression" priority="21" dxfId="2" stopIfTrue="1">
      <formula>F$1=1</formula>
    </cfRule>
    <cfRule type="expression" priority="22" dxfId="1" stopIfTrue="1">
      <formula>F$1=2</formula>
    </cfRule>
    <cfRule type="expression" priority="23" dxfId="0" stopIfTrue="1">
      <formula>F$1=0</formula>
    </cfRule>
  </conditionalFormatting>
  <conditionalFormatting sqref="F70:P70">
    <cfRule type="expression" priority="18" dxfId="2" stopIfTrue="1">
      <formula>F$1=1</formula>
    </cfRule>
    <cfRule type="expression" priority="19" dxfId="1" stopIfTrue="1">
      <formula>F$1=2</formula>
    </cfRule>
    <cfRule type="expression" priority="20" dxfId="0" stopIfTrue="1">
      <formula>F$1=0</formula>
    </cfRule>
  </conditionalFormatting>
  <conditionalFormatting sqref="G105:P105">
    <cfRule type="expression" priority="6" dxfId="237" stopIfTrue="1">
      <formula>AND(G$1&gt;=0,$A$105=2)</formula>
    </cfRule>
    <cfRule type="expression" priority="7" dxfId="1" stopIfTrue="1">
      <formula>G$1=2</formula>
    </cfRule>
    <cfRule type="expression" priority="8" dxfId="2" stopIfTrue="1">
      <formula>G$1=1</formula>
    </cfRule>
  </conditionalFormatting>
  <conditionalFormatting sqref="G103:P103">
    <cfRule type="expression" priority="9" dxfId="2" stopIfTrue="1">
      <formula>G$1=1</formula>
    </cfRule>
    <cfRule type="expression" priority="10" dxfId="1" stopIfTrue="1">
      <formula>G$1=2</formula>
    </cfRule>
  </conditionalFormatting>
  <conditionalFormatting sqref="F100:P100 F80:P83 F85:P86 F88:P89 F92:P92 F110:P110 F114:P116 F108:P108 F118:P119 F94:P98">
    <cfRule type="expression" priority="11" dxfId="2" stopIfTrue="1">
      <formula>F$1=1</formula>
    </cfRule>
    <cfRule type="expression" priority="12" dxfId="1" stopIfTrue="1">
      <formula>F$1=2</formula>
    </cfRule>
    <cfRule type="expression" priority="13" dxfId="0" stopIfTrue="1">
      <formula>F$1=0</formula>
    </cfRule>
  </conditionalFormatting>
  <conditionalFormatting sqref="F105">
    <cfRule type="expression" priority="4" dxfId="237" stopIfTrue="1">
      <formula>$A$105=2</formula>
    </cfRule>
  </conditionalFormatting>
  <conditionalFormatting sqref="F106:P106">
    <cfRule type="expression" priority="5" dxfId="237" stopIfTrue="1">
      <formula>$A$105=1</formula>
    </cfRule>
  </conditionalFormatting>
  <conditionalFormatting sqref="F99 F101">
    <cfRule type="expression" priority="14" dxfId="236" stopIfTrue="1">
      <formula>opm=2</formula>
    </cfRule>
  </conditionalFormatting>
  <conditionalFormatting sqref="G99:P99 G101:P101">
    <cfRule type="expression" priority="15" dxfId="2" stopIfTrue="1">
      <formula>AND(G$1=1,opm=1)</formula>
    </cfRule>
    <cfRule type="expression" priority="16" dxfId="1" stopIfTrue="1">
      <formula>AND(G$1=2,opm=1)</formula>
    </cfRule>
    <cfRule type="expression" priority="17" dxfId="236" stopIfTrue="1">
      <formula>opm=2</formula>
    </cfRule>
  </conditionalFormatting>
  <conditionalFormatting sqref="C99 C101">
    <cfRule type="expression" priority="3" dxfId="236" stopIfTrue="1">
      <formula>opm=2</formula>
    </cfRule>
  </conditionalFormatting>
  <conditionalFormatting sqref="E106">
    <cfRule type="expression" priority="2" dxfId="237" stopIfTrue="1">
      <formula>$A$105=1</formula>
    </cfRule>
  </conditionalFormatting>
  <conditionalFormatting sqref="E105">
    <cfRule type="expression" priority="1" dxfId="237" stopIfTrue="1">
      <formula>$A$105=2</formula>
    </cfRule>
  </conditionalFormatting>
  <dataValidations count="2">
    <dataValidation type="decimal" allowBlank="1" showInputMessage="1" showErrorMessage="1" errorTitle="Chybné zadání! - Error!" error="Pouze +/- 1% VaPNaK! - Only +/- 1% of WACC allowed!" sqref="E15">
      <formula1>E14-1%</formula1>
      <formula2>E14+1%</formula2>
    </dataValidation>
    <dataValidation type="whole" allowBlank="1" showInputMessage="1" showErrorMessage="1" errorTitle="Chybné zadání!" error="Odpočet musí být kladný a v max. výši Zisku před zdaněním (Vystupy, ř.32)!" sqref="F110:P110">
      <formula1>0</formula1>
      <formula2>F109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55" r:id="rId3"/>
  <headerFooter alignWithMargins="0">
    <oddFooter>&amp;L&amp;A
&amp;F&amp;C&amp;P celkem &amp;N&amp;R&amp;T
&amp;D</oddFooter>
  </headerFooter>
  <rowBreaks count="1" manualBreakCount="1">
    <brk id="67" max="255" man="1"/>
  </rowBreaks>
  <ignoredErrors>
    <ignoredError sqref="C49:C63 C45 C64 Q45:Q63 Q44 C37" formula="1"/>
    <ignoredError sqref="F105:P10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SFŽP</dc:creator>
  <cp:keywords/>
  <dc:description/>
  <cp:lastModifiedBy>tomas</cp:lastModifiedBy>
  <cp:lastPrinted>2009-08-07T16:34:28Z</cp:lastPrinted>
  <dcterms:created xsi:type="dcterms:W3CDTF">2009-06-10T08:40:29Z</dcterms:created>
  <dcterms:modified xsi:type="dcterms:W3CDTF">2021-09-13T15:17:28Z</dcterms:modified>
  <cp:category/>
  <cp:version/>
  <cp:contentType/>
  <cp:contentStatus/>
</cp:coreProperties>
</file>